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247\Google Drive\FINA415-15B\Project 1\"/>
    </mc:Choice>
  </mc:AlternateContent>
  <bookViews>
    <workbookView xWindow="360" yWindow="120" windowWidth="13395" windowHeight="12330"/>
  </bookViews>
  <sheets>
    <sheet name="Assignment" sheetId="4" r:id="rId1"/>
    <sheet name="Sample" sheetId="5" r:id="rId2"/>
    <sheet name="A-G" sheetId="6" r:id="rId3"/>
    <sheet name="H-N" sheetId="7" r:id="rId4"/>
    <sheet name="O-T" sheetId="8" r:id="rId5"/>
    <sheet name="U-X" sheetId="9" r:id="rId6"/>
    <sheet name="Lending category" sheetId="10" r:id="rId7"/>
    <sheet name="Summary" sheetId="11" r:id="rId8"/>
  </sheets>
  <definedNames>
    <definedName name="array1">'A-G'!$B$83:$B$130</definedName>
    <definedName name="array2">'A-G'!$C$2:$HH$2</definedName>
    <definedName name="array3">'A-G'!$C$3:$HH$3</definedName>
    <definedName name="Array4">'A-G'!$A$83:$HH$130</definedName>
    <definedName name="data">#REF!</definedName>
    <definedName name="data1">#REF!</definedName>
    <definedName name="data7">#REF!</definedName>
    <definedName name="Worksheet_L">#REF!</definedName>
  </definedNames>
  <calcPr calcId="152511" iterate="1"/>
</workbook>
</file>

<file path=xl/calcChain.xml><?xml version="1.0" encoding="utf-8"?>
<calcChain xmlns="http://schemas.openxmlformats.org/spreadsheetml/2006/main">
  <c r="A3" i="10" l="1"/>
  <c r="F2" i="10"/>
  <c r="E2" i="10"/>
  <c r="D2" i="10"/>
  <c r="C2" i="10"/>
  <c r="B2" i="10"/>
  <c r="A4" i="10" s="1"/>
  <c r="I147" i="9"/>
  <c r="DN130" i="9"/>
  <c r="DM130" i="9"/>
  <c r="DL130" i="9"/>
  <c r="DK130" i="9"/>
  <c r="DJ130" i="9"/>
  <c r="DI130" i="9"/>
  <c r="DH130" i="9"/>
  <c r="DG130" i="9"/>
  <c r="DF130" i="9"/>
  <c r="DE130" i="9"/>
  <c r="DD130" i="9"/>
  <c r="DC130" i="9"/>
  <c r="DB130" i="9"/>
  <c r="DA130" i="9"/>
  <c r="CZ130" i="9"/>
  <c r="CY130" i="9"/>
  <c r="CX130" i="9"/>
  <c r="CW130" i="9"/>
  <c r="CV130" i="9"/>
  <c r="CU130" i="9"/>
  <c r="CT130" i="9"/>
  <c r="CS130" i="9"/>
  <c r="CR130" i="9"/>
  <c r="CQ130" i="9"/>
  <c r="CP130" i="9"/>
  <c r="CO130" i="9"/>
  <c r="CN130" i="9"/>
  <c r="CM130" i="9"/>
  <c r="CL130" i="9"/>
  <c r="CK130" i="9"/>
  <c r="CJ130" i="9"/>
  <c r="CI130" i="9"/>
  <c r="CH130" i="9"/>
  <c r="CG130" i="9"/>
  <c r="CF130" i="9"/>
  <c r="CE130" i="9"/>
  <c r="CD130" i="9"/>
  <c r="CC130" i="9"/>
  <c r="CB130" i="9"/>
  <c r="CA130" i="9"/>
  <c r="BZ130" i="9"/>
  <c r="BY130" i="9"/>
  <c r="BX130" i="9"/>
  <c r="BW130" i="9"/>
  <c r="BV130" i="9"/>
  <c r="BU130" i="9"/>
  <c r="BT130" i="9"/>
  <c r="BS130" i="9"/>
  <c r="BR130" i="9"/>
  <c r="BQ130" i="9"/>
  <c r="BP130" i="9"/>
  <c r="BO130" i="9"/>
  <c r="BN130" i="9"/>
  <c r="BM130" i="9"/>
  <c r="BL130" i="9"/>
  <c r="BK130" i="9"/>
  <c r="BJ130" i="9"/>
  <c r="BI130" i="9"/>
  <c r="BH130" i="9"/>
  <c r="BG130" i="9"/>
  <c r="BF130" i="9"/>
  <c r="BE130" i="9"/>
  <c r="BD130" i="9"/>
  <c r="BC130" i="9"/>
  <c r="BB130" i="9"/>
  <c r="BA130" i="9"/>
  <c r="AZ130" i="9"/>
  <c r="AY130" i="9"/>
  <c r="AX130" i="9"/>
  <c r="AW130" i="9"/>
  <c r="AV130" i="9"/>
  <c r="AU130" i="9"/>
  <c r="AT130" i="9"/>
  <c r="AS130" i="9"/>
  <c r="AN130" i="9"/>
  <c r="AM130" i="9"/>
  <c r="AK130" i="9"/>
  <c r="AJ130" i="9"/>
  <c r="X130" i="9"/>
  <c r="W130" i="9"/>
  <c r="V130" i="9"/>
  <c r="U130" i="9"/>
  <c r="S130" i="9"/>
  <c r="R130" i="9"/>
  <c r="Q130" i="9"/>
  <c r="O130" i="9"/>
  <c r="N130" i="9"/>
  <c r="M130" i="9"/>
  <c r="K130" i="9"/>
  <c r="J130" i="9"/>
  <c r="I130" i="9"/>
  <c r="G130" i="9"/>
  <c r="AQ129" i="9"/>
  <c r="AM129" i="9"/>
  <c r="AI129" i="9"/>
  <c r="AE129" i="9"/>
  <c r="AA129" i="9"/>
  <c r="W129" i="9"/>
  <c r="V129" i="9"/>
  <c r="U129" i="9"/>
  <c r="Q129" i="9"/>
  <c r="M129" i="9"/>
  <c r="I129" i="9"/>
  <c r="E129" i="9"/>
  <c r="DN128" i="9"/>
  <c r="DM128" i="9"/>
  <c r="DL128" i="9"/>
  <c r="DK128" i="9"/>
  <c r="DJ128" i="9"/>
  <c r="DI128" i="9"/>
  <c r="DH128" i="9"/>
  <c r="DG128" i="9"/>
  <c r="DF128" i="9"/>
  <c r="DE128" i="9"/>
  <c r="DD128" i="9"/>
  <c r="DC128" i="9"/>
  <c r="DB128" i="9"/>
  <c r="DA128" i="9"/>
  <c r="CZ128" i="9"/>
  <c r="CY128" i="9"/>
  <c r="CX128" i="9"/>
  <c r="CW128" i="9"/>
  <c r="CV128" i="9"/>
  <c r="CU128" i="9"/>
  <c r="CT128" i="9"/>
  <c r="CS128" i="9"/>
  <c r="CR128" i="9"/>
  <c r="CQ128" i="9"/>
  <c r="CP128" i="9"/>
  <c r="CO128" i="9"/>
  <c r="CN128" i="9"/>
  <c r="CM128" i="9"/>
  <c r="CL128" i="9"/>
  <c r="CK128" i="9"/>
  <c r="CJ128" i="9"/>
  <c r="CI128" i="9"/>
  <c r="CH128" i="9"/>
  <c r="CG128" i="9"/>
  <c r="CF128" i="9"/>
  <c r="CE128" i="9"/>
  <c r="CD128" i="9"/>
  <c r="CC128" i="9"/>
  <c r="CB128" i="9"/>
  <c r="CA128" i="9"/>
  <c r="BZ128" i="9"/>
  <c r="BY128" i="9"/>
  <c r="BX128" i="9"/>
  <c r="BW128" i="9"/>
  <c r="BV128" i="9"/>
  <c r="BU128" i="9"/>
  <c r="BT128" i="9"/>
  <c r="BS128" i="9"/>
  <c r="BR128" i="9"/>
  <c r="BQ128" i="9"/>
  <c r="BP128" i="9"/>
  <c r="BO128" i="9"/>
  <c r="BN128" i="9"/>
  <c r="BM128" i="9"/>
  <c r="BL128" i="9"/>
  <c r="BK128" i="9"/>
  <c r="BJ128" i="9"/>
  <c r="BI128" i="9"/>
  <c r="BH128" i="9"/>
  <c r="BG128" i="9"/>
  <c r="BF128" i="9"/>
  <c r="BE128" i="9"/>
  <c r="BD128" i="9"/>
  <c r="BC128" i="9"/>
  <c r="BB128" i="9"/>
  <c r="BA128" i="9"/>
  <c r="AZ128" i="9"/>
  <c r="AY128" i="9"/>
  <c r="AX128" i="9"/>
  <c r="AW128" i="9"/>
  <c r="AV128" i="9"/>
  <c r="AU128" i="9"/>
  <c r="AT128" i="9"/>
  <c r="AS128" i="9"/>
  <c r="AO128" i="9"/>
  <c r="AN128" i="9"/>
  <c r="AM128" i="9"/>
  <c r="AK128" i="9"/>
  <c r="AJ128" i="9"/>
  <c r="AG128" i="9"/>
  <c r="AC128" i="9"/>
  <c r="Y128" i="9"/>
  <c r="X128" i="9"/>
  <c r="W128" i="9"/>
  <c r="V128" i="9"/>
  <c r="U128" i="9"/>
  <c r="S128" i="9"/>
  <c r="R128" i="9"/>
  <c r="Q128" i="9"/>
  <c r="O128" i="9"/>
  <c r="N128" i="9"/>
  <c r="M128" i="9"/>
  <c r="K128" i="9"/>
  <c r="J128" i="9"/>
  <c r="I128" i="9"/>
  <c r="G128" i="9"/>
  <c r="C128" i="9"/>
  <c r="DN127" i="9"/>
  <c r="DM127" i="9"/>
  <c r="DL127" i="9"/>
  <c r="DK127" i="9"/>
  <c r="DJ127" i="9"/>
  <c r="DI127" i="9"/>
  <c r="DH127" i="9"/>
  <c r="DG127" i="9"/>
  <c r="DF127" i="9"/>
  <c r="DE127" i="9"/>
  <c r="DD127" i="9"/>
  <c r="DC127" i="9"/>
  <c r="DB127" i="9"/>
  <c r="DA127" i="9"/>
  <c r="CZ127" i="9"/>
  <c r="CY127" i="9"/>
  <c r="CX127" i="9"/>
  <c r="CW127" i="9"/>
  <c r="CV127" i="9"/>
  <c r="CU127" i="9"/>
  <c r="CT127" i="9"/>
  <c r="CS127" i="9"/>
  <c r="CR127" i="9"/>
  <c r="CQ127" i="9"/>
  <c r="CP127" i="9"/>
  <c r="CO127" i="9"/>
  <c r="CN127" i="9"/>
  <c r="CM127" i="9"/>
  <c r="CL127" i="9"/>
  <c r="CK127" i="9"/>
  <c r="CJ127" i="9"/>
  <c r="CI127" i="9"/>
  <c r="CH127" i="9"/>
  <c r="CG127" i="9"/>
  <c r="CF127" i="9"/>
  <c r="CE127" i="9"/>
  <c r="CD127" i="9"/>
  <c r="CC127" i="9"/>
  <c r="CB127" i="9"/>
  <c r="CA127" i="9"/>
  <c r="BZ127" i="9"/>
  <c r="BY127" i="9"/>
  <c r="BX127" i="9"/>
  <c r="BW127" i="9"/>
  <c r="BV127" i="9"/>
  <c r="BU127" i="9"/>
  <c r="BT127" i="9"/>
  <c r="BS127" i="9"/>
  <c r="BR127" i="9"/>
  <c r="BQ127" i="9"/>
  <c r="BP127" i="9"/>
  <c r="BO127" i="9"/>
  <c r="BN127" i="9"/>
  <c r="BM127" i="9"/>
  <c r="BL127" i="9"/>
  <c r="BK127" i="9"/>
  <c r="BJ127" i="9"/>
  <c r="BI127" i="9"/>
  <c r="BH127" i="9"/>
  <c r="BG127" i="9"/>
  <c r="BF127" i="9"/>
  <c r="BE127" i="9"/>
  <c r="BD127" i="9"/>
  <c r="BC127" i="9"/>
  <c r="BB127" i="9"/>
  <c r="BA127" i="9"/>
  <c r="AZ127" i="9"/>
  <c r="AY127" i="9"/>
  <c r="AX127" i="9"/>
  <c r="AW127" i="9"/>
  <c r="AV127" i="9"/>
  <c r="AU127" i="9"/>
  <c r="AT127" i="9"/>
  <c r="AS127" i="9"/>
  <c r="AR127" i="9"/>
  <c r="AQ127" i="9"/>
  <c r="AO127" i="9"/>
  <c r="AN127" i="9"/>
  <c r="AM127" i="9"/>
  <c r="AK127" i="9"/>
  <c r="AJ127" i="9"/>
  <c r="AI127" i="9"/>
  <c r="AG127" i="9"/>
  <c r="AF127" i="9"/>
  <c r="AE127" i="9"/>
  <c r="AC127" i="9"/>
  <c r="AB127" i="9"/>
  <c r="AA127" i="9"/>
  <c r="Y127" i="9"/>
  <c r="X127" i="9"/>
  <c r="W127" i="9"/>
  <c r="V127" i="9"/>
  <c r="U127" i="9"/>
  <c r="S127" i="9"/>
  <c r="R127" i="9"/>
  <c r="Q127" i="9"/>
  <c r="O127" i="9"/>
  <c r="N127" i="9"/>
  <c r="M127" i="9"/>
  <c r="K127" i="9"/>
  <c r="J127" i="9"/>
  <c r="I127" i="9"/>
  <c r="G127" i="9"/>
  <c r="F127" i="9"/>
  <c r="E127" i="9"/>
  <c r="C127" i="9"/>
  <c r="DN126" i="9"/>
  <c r="DM126" i="9"/>
  <c r="DL126" i="9"/>
  <c r="DK126" i="9"/>
  <c r="DJ126" i="9"/>
  <c r="DI126" i="9"/>
  <c r="DH126" i="9"/>
  <c r="DG126" i="9"/>
  <c r="DF126" i="9"/>
  <c r="DE126" i="9"/>
  <c r="DD126" i="9"/>
  <c r="DC126" i="9"/>
  <c r="DB126" i="9"/>
  <c r="DA126" i="9"/>
  <c r="CZ126" i="9"/>
  <c r="CY126" i="9"/>
  <c r="CX126" i="9"/>
  <c r="CW126" i="9"/>
  <c r="CV126" i="9"/>
  <c r="CU126" i="9"/>
  <c r="CT126" i="9"/>
  <c r="CS126" i="9"/>
  <c r="CR126" i="9"/>
  <c r="CQ126" i="9"/>
  <c r="CP126" i="9"/>
  <c r="CO126" i="9"/>
  <c r="CN126" i="9"/>
  <c r="CM126" i="9"/>
  <c r="CL126" i="9"/>
  <c r="CK126" i="9"/>
  <c r="CJ126" i="9"/>
  <c r="CI126" i="9"/>
  <c r="CH126" i="9"/>
  <c r="CG126" i="9"/>
  <c r="CF126" i="9"/>
  <c r="CE126" i="9"/>
  <c r="CD126" i="9"/>
  <c r="CC126" i="9"/>
  <c r="CB126" i="9"/>
  <c r="CA126" i="9"/>
  <c r="BZ126" i="9"/>
  <c r="BY126" i="9"/>
  <c r="BX126" i="9"/>
  <c r="BW126" i="9"/>
  <c r="BV126" i="9"/>
  <c r="BU126" i="9"/>
  <c r="BT126" i="9"/>
  <c r="BS126" i="9"/>
  <c r="BR126" i="9"/>
  <c r="BQ126" i="9"/>
  <c r="BP126" i="9"/>
  <c r="BO126" i="9"/>
  <c r="BN126" i="9"/>
  <c r="BM126" i="9"/>
  <c r="BL126" i="9"/>
  <c r="BK126" i="9"/>
  <c r="BJ126" i="9"/>
  <c r="BI126" i="9"/>
  <c r="BH126" i="9"/>
  <c r="BG126" i="9"/>
  <c r="BF126" i="9"/>
  <c r="BE126" i="9"/>
  <c r="BD126" i="9"/>
  <c r="BC126" i="9"/>
  <c r="BB126" i="9"/>
  <c r="BA126" i="9"/>
  <c r="AZ126" i="9"/>
  <c r="AY126" i="9"/>
  <c r="AX126" i="9"/>
  <c r="AW126" i="9"/>
  <c r="AV126" i="9"/>
  <c r="AU126" i="9"/>
  <c r="AT126" i="9"/>
  <c r="AS126" i="9"/>
  <c r="AO126" i="9"/>
  <c r="AN126" i="9"/>
  <c r="AM126" i="9"/>
  <c r="AK126" i="9"/>
  <c r="AJ126" i="9"/>
  <c r="AI126" i="9"/>
  <c r="AG126" i="9"/>
  <c r="AF126" i="9"/>
  <c r="AE126" i="9"/>
  <c r="AC126" i="9"/>
  <c r="AB126" i="9"/>
  <c r="AA126" i="9"/>
  <c r="Y126" i="9"/>
  <c r="X126" i="9"/>
  <c r="W126" i="9"/>
  <c r="V126" i="9"/>
  <c r="U126" i="9"/>
  <c r="S126" i="9"/>
  <c r="O126" i="9"/>
  <c r="N126" i="9"/>
  <c r="M126" i="9"/>
  <c r="K126" i="9"/>
  <c r="G126" i="9"/>
  <c r="F126" i="9"/>
  <c r="E126" i="9"/>
  <c r="C126" i="9"/>
  <c r="DN125" i="9"/>
  <c r="DM125" i="9"/>
  <c r="DM87" i="9" s="1"/>
  <c r="DL125" i="9"/>
  <c r="DK125" i="9"/>
  <c r="DK87" i="9" s="1"/>
  <c r="DJ125" i="9"/>
  <c r="DI125" i="9"/>
  <c r="DI87" i="9" s="1"/>
  <c r="DH125" i="9"/>
  <c r="DG125" i="9"/>
  <c r="DG87" i="9" s="1"/>
  <c r="DF125" i="9"/>
  <c r="DE125" i="9"/>
  <c r="DE87" i="9" s="1"/>
  <c r="DD125" i="9"/>
  <c r="DC125" i="9"/>
  <c r="DC87" i="9" s="1"/>
  <c r="DB125" i="9"/>
  <c r="DA125" i="9"/>
  <c r="DA87" i="9" s="1"/>
  <c r="CZ125" i="9"/>
  <c r="CY125" i="9"/>
  <c r="CY87" i="9" s="1"/>
  <c r="CX125" i="9"/>
  <c r="CW125" i="9"/>
  <c r="CW87" i="9" s="1"/>
  <c r="CV125" i="9"/>
  <c r="CU125" i="9"/>
  <c r="CU87" i="9" s="1"/>
  <c r="CT125" i="9"/>
  <c r="CS125" i="9"/>
  <c r="CS87" i="9" s="1"/>
  <c r="CR125" i="9"/>
  <c r="CQ125" i="9"/>
  <c r="CQ87" i="9" s="1"/>
  <c r="CP125" i="9"/>
  <c r="CO125" i="9"/>
  <c r="CO87" i="9" s="1"/>
  <c r="CN125" i="9"/>
  <c r="CM125" i="9"/>
  <c r="CM87" i="9" s="1"/>
  <c r="CL125" i="9"/>
  <c r="CK125" i="9"/>
  <c r="CK87" i="9" s="1"/>
  <c r="CJ125" i="9"/>
  <c r="CI125" i="9"/>
  <c r="CI87" i="9" s="1"/>
  <c r="CH125" i="9"/>
  <c r="CG125" i="9"/>
  <c r="CG87" i="9" s="1"/>
  <c r="CF125" i="9"/>
  <c r="CE125" i="9"/>
  <c r="CE87" i="9" s="1"/>
  <c r="CD125" i="9"/>
  <c r="CC125" i="9"/>
  <c r="CC87" i="9" s="1"/>
  <c r="CB125" i="9"/>
  <c r="CA125" i="9"/>
  <c r="CA87" i="9" s="1"/>
  <c r="BZ125" i="9"/>
  <c r="BY125" i="9"/>
  <c r="BY87" i="9" s="1"/>
  <c r="BX125" i="9"/>
  <c r="BW125" i="9"/>
  <c r="BW87" i="9" s="1"/>
  <c r="BV125" i="9"/>
  <c r="BU125" i="9"/>
  <c r="BU87" i="9" s="1"/>
  <c r="BT125" i="9"/>
  <c r="BS125" i="9"/>
  <c r="BS87" i="9" s="1"/>
  <c r="BR125" i="9"/>
  <c r="BQ125" i="9"/>
  <c r="BQ87" i="9" s="1"/>
  <c r="BP125" i="9"/>
  <c r="BO125" i="9"/>
  <c r="BO87" i="9" s="1"/>
  <c r="BN125" i="9"/>
  <c r="BM125" i="9"/>
  <c r="BM87" i="9" s="1"/>
  <c r="BL125" i="9"/>
  <c r="BK125" i="9"/>
  <c r="BK87" i="9" s="1"/>
  <c r="BJ125" i="9"/>
  <c r="BI125" i="9"/>
  <c r="BI87" i="9" s="1"/>
  <c r="BH125" i="9"/>
  <c r="BG125" i="9"/>
  <c r="BG87" i="9" s="1"/>
  <c r="BF125" i="9"/>
  <c r="BE125" i="9"/>
  <c r="BE87" i="9" s="1"/>
  <c r="BD125" i="9"/>
  <c r="BC125" i="9"/>
  <c r="BC87" i="9" s="1"/>
  <c r="BB125" i="9"/>
  <c r="BA125" i="9"/>
  <c r="BA87" i="9" s="1"/>
  <c r="AZ125" i="9"/>
  <c r="AY125" i="9"/>
  <c r="AY87" i="9" s="1"/>
  <c r="AX125" i="9"/>
  <c r="AW125" i="9"/>
  <c r="AW87" i="9" s="1"/>
  <c r="AV125" i="9"/>
  <c r="AU125" i="9"/>
  <c r="AU87" i="9" s="1"/>
  <c r="AT125" i="9"/>
  <c r="AS125" i="9"/>
  <c r="AS87" i="9" s="1"/>
  <c r="AN125" i="9"/>
  <c r="AM125" i="9"/>
  <c r="AK125" i="9"/>
  <c r="AJ125" i="9"/>
  <c r="AJ87" i="9" s="1"/>
  <c r="AI125" i="9"/>
  <c r="AG125" i="9"/>
  <c r="AG87" i="9" s="1"/>
  <c r="AF125" i="9"/>
  <c r="AE125" i="9"/>
  <c r="AC125" i="9"/>
  <c r="AB125" i="9"/>
  <c r="AA125" i="9"/>
  <c r="Y125" i="9"/>
  <c r="Y87" i="9" s="1"/>
  <c r="X125" i="9"/>
  <c r="W125" i="9"/>
  <c r="W87" i="9" s="1"/>
  <c r="V125" i="9"/>
  <c r="U125" i="9"/>
  <c r="U87" i="9" s="1"/>
  <c r="S125" i="9"/>
  <c r="N125" i="9"/>
  <c r="N87" i="9" s="1"/>
  <c r="M125" i="9"/>
  <c r="K125" i="9"/>
  <c r="K87" i="9" s="1"/>
  <c r="F125" i="9"/>
  <c r="E125" i="9"/>
  <c r="E87" i="9" s="1"/>
  <c r="C125" i="9"/>
  <c r="DN124" i="9"/>
  <c r="DM124" i="9"/>
  <c r="DL124" i="9"/>
  <c r="DK124" i="9"/>
  <c r="DJ124" i="9"/>
  <c r="DI124" i="9"/>
  <c r="DH124" i="9"/>
  <c r="DG124" i="9"/>
  <c r="DF124" i="9"/>
  <c r="DE124" i="9"/>
  <c r="DD124" i="9"/>
  <c r="DC124" i="9"/>
  <c r="DB124" i="9"/>
  <c r="DA124" i="9"/>
  <c r="CZ124" i="9"/>
  <c r="CY124" i="9"/>
  <c r="CX124" i="9"/>
  <c r="CW124" i="9"/>
  <c r="CV124" i="9"/>
  <c r="CU124" i="9"/>
  <c r="CT124" i="9"/>
  <c r="CS124" i="9"/>
  <c r="CR124" i="9"/>
  <c r="CQ124" i="9"/>
  <c r="CP124" i="9"/>
  <c r="CO124" i="9"/>
  <c r="CN124" i="9"/>
  <c r="CM124" i="9"/>
  <c r="CL124" i="9"/>
  <c r="CK124" i="9"/>
  <c r="CJ124" i="9"/>
  <c r="CI124" i="9"/>
  <c r="CH124" i="9"/>
  <c r="CG124" i="9"/>
  <c r="CF124" i="9"/>
  <c r="CE124" i="9"/>
  <c r="CD124" i="9"/>
  <c r="CC124" i="9"/>
  <c r="CB124" i="9"/>
  <c r="CA124" i="9"/>
  <c r="BZ124" i="9"/>
  <c r="BY124" i="9"/>
  <c r="BX124" i="9"/>
  <c r="BW124" i="9"/>
  <c r="BV124" i="9"/>
  <c r="BU124" i="9"/>
  <c r="BT124" i="9"/>
  <c r="BS124" i="9"/>
  <c r="BR124" i="9"/>
  <c r="BQ124" i="9"/>
  <c r="BP124" i="9"/>
  <c r="BO124" i="9"/>
  <c r="BN124" i="9"/>
  <c r="BM124" i="9"/>
  <c r="BL124" i="9"/>
  <c r="BK124" i="9"/>
  <c r="BJ124" i="9"/>
  <c r="BI124" i="9"/>
  <c r="BH124" i="9"/>
  <c r="BG124" i="9"/>
  <c r="BF124" i="9"/>
  <c r="BE124" i="9"/>
  <c r="BD124" i="9"/>
  <c r="BC124" i="9"/>
  <c r="BB124" i="9"/>
  <c r="BA124" i="9"/>
  <c r="AZ124" i="9"/>
  <c r="AY124" i="9"/>
  <c r="AX124" i="9"/>
  <c r="AW124" i="9"/>
  <c r="AV124" i="9"/>
  <c r="AU124" i="9"/>
  <c r="AT124" i="9"/>
  <c r="AS124" i="9"/>
  <c r="AR124" i="9"/>
  <c r="AO124" i="9"/>
  <c r="AN124" i="9"/>
  <c r="AM124" i="9"/>
  <c r="AK124" i="9"/>
  <c r="AJ124" i="9"/>
  <c r="AI124" i="9"/>
  <c r="AG124" i="9"/>
  <c r="AF124" i="9"/>
  <c r="AE124" i="9"/>
  <c r="AC124" i="9"/>
  <c r="Y124" i="9"/>
  <c r="X124" i="9"/>
  <c r="W124" i="9"/>
  <c r="V124" i="9"/>
  <c r="S124" i="9"/>
  <c r="R124" i="9"/>
  <c r="Q124" i="9"/>
  <c r="O124" i="9"/>
  <c r="N124" i="9"/>
  <c r="M124" i="9"/>
  <c r="K124" i="9"/>
  <c r="J124" i="9"/>
  <c r="I124" i="9"/>
  <c r="G124" i="9"/>
  <c r="F124" i="9"/>
  <c r="C124" i="9"/>
  <c r="DN123" i="9"/>
  <c r="DM123" i="9"/>
  <c r="DL123" i="9"/>
  <c r="DK123" i="9"/>
  <c r="DJ123" i="9"/>
  <c r="DI123" i="9"/>
  <c r="DH123" i="9"/>
  <c r="DG123" i="9"/>
  <c r="DF123" i="9"/>
  <c r="DE123" i="9"/>
  <c r="DD123" i="9"/>
  <c r="DC123" i="9"/>
  <c r="DB123" i="9"/>
  <c r="DA123" i="9"/>
  <c r="CZ123" i="9"/>
  <c r="CY123" i="9"/>
  <c r="CX123" i="9"/>
  <c r="CW123" i="9"/>
  <c r="CV123" i="9"/>
  <c r="CU123" i="9"/>
  <c r="CT123" i="9"/>
  <c r="CS123" i="9"/>
  <c r="CR123" i="9"/>
  <c r="CQ123" i="9"/>
  <c r="CP123" i="9"/>
  <c r="CO123" i="9"/>
  <c r="CN123" i="9"/>
  <c r="CM123" i="9"/>
  <c r="CL123" i="9"/>
  <c r="CK123" i="9"/>
  <c r="CJ123" i="9"/>
  <c r="CI123" i="9"/>
  <c r="CH123" i="9"/>
  <c r="CG123" i="9"/>
  <c r="CF123" i="9"/>
  <c r="CE123" i="9"/>
  <c r="CD123" i="9"/>
  <c r="CC123" i="9"/>
  <c r="CB123" i="9"/>
  <c r="CA123" i="9"/>
  <c r="BZ123" i="9"/>
  <c r="BY123" i="9"/>
  <c r="BX123" i="9"/>
  <c r="BW123" i="9"/>
  <c r="BV123" i="9"/>
  <c r="BU123" i="9"/>
  <c r="BT123" i="9"/>
  <c r="BS123" i="9"/>
  <c r="BR123" i="9"/>
  <c r="BQ123" i="9"/>
  <c r="BP123" i="9"/>
  <c r="BO123" i="9"/>
  <c r="BN123" i="9"/>
  <c r="BM123" i="9"/>
  <c r="BL123" i="9"/>
  <c r="BK123" i="9"/>
  <c r="BJ123" i="9"/>
  <c r="BI123" i="9"/>
  <c r="BH123" i="9"/>
  <c r="BG123" i="9"/>
  <c r="BF123" i="9"/>
  <c r="BE123" i="9"/>
  <c r="BD123" i="9"/>
  <c r="BC123" i="9"/>
  <c r="BB123" i="9"/>
  <c r="BA123" i="9"/>
  <c r="AZ123" i="9"/>
  <c r="AY123" i="9"/>
  <c r="AX123" i="9"/>
  <c r="AW123" i="9"/>
  <c r="AV123" i="9"/>
  <c r="AU123" i="9"/>
  <c r="AT123" i="9"/>
  <c r="AS123" i="9"/>
  <c r="AR123" i="9"/>
  <c r="AN123" i="9"/>
  <c r="AM123" i="9"/>
  <c r="AK123" i="9"/>
  <c r="AJ123" i="9"/>
  <c r="AI123" i="9"/>
  <c r="AG123" i="9"/>
  <c r="AF123" i="9"/>
  <c r="AE123" i="9"/>
  <c r="AC123" i="9"/>
  <c r="X123" i="9"/>
  <c r="W123" i="9"/>
  <c r="V123" i="9"/>
  <c r="R123" i="9"/>
  <c r="Q123" i="9"/>
  <c r="O123" i="9"/>
  <c r="N123" i="9"/>
  <c r="M123" i="9"/>
  <c r="K123" i="9"/>
  <c r="J123" i="9"/>
  <c r="I123" i="9"/>
  <c r="G123" i="9"/>
  <c r="F123" i="9"/>
  <c r="DN122" i="9"/>
  <c r="DM122" i="9"/>
  <c r="DL122" i="9"/>
  <c r="DK122" i="9"/>
  <c r="DJ122" i="9"/>
  <c r="DI122" i="9"/>
  <c r="DH122" i="9"/>
  <c r="DG122" i="9"/>
  <c r="DF122" i="9"/>
  <c r="DE122" i="9"/>
  <c r="DD122" i="9"/>
  <c r="DC122" i="9"/>
  <c r="DB122" i="9"/>
  <c r="DA122" i="9"/>
  <c r="CZ122" i="9"/>
  <c r="CY122" i="9"/>
  <c r="CX122" i="9"/>
  <c r="CW122" i="9"/>
  <c r="CV122" i="9"/>
  <c r="CU122" i="9"/>
  <c r="CT122" i="9"/>
  <c r="CS122" i="9"/>
  <c r="CR122" i="9"/>
  <c r="CQ122" i="9"/>
  <c r="CP122" i="9"/>
  <c r="CO122" i="9"/>
  <c r="CN122" i="9"/>
  <c r="CM122" i="9"/>
  <c r="CL122" i="9"/>
  <c r="CK122" i="9"/>
  <c r="CJ122" i="9"/>
  <c r="CI122" i="9"/>
  <c r="CH122" i="9"/>
  <c r="CG122" i="9"/>
  <c r="CF122" i="9"/>
  <c r="CE122" i="9"/>
  <c r="CD122" i="9"/>
  <c r="CC122" i="9"/>
  <c r="CB122" i="9"/>
  <c r="CA122" i="9"/>
  <c r="BZ122" i="9"/>
  <c r="BY122" i="9"/>
  <c r="BX122" i="9"/>
  <c r="BW122" i="9"/>
  <c r="BV122" i="9"/>
  <c r="BU122" i="9"/>
  <c r="BT122" i="9"/>
  <c r="BS122" i="9"/>
  <c r="BR122" i="9"/>
  <c r="BQ122" i="9"/>
  <c r="BP122" i="9"/>
  <c r="BO122" i="9"/>
  <c r="BN122" i="9"/>
  <c r="BM122" i="9"/>
  <c r="BL122" i="9"/>
  <c r="BK122" i="9"/>
  <c r="BJ122" i="9"/>
  <c r="BI122" i="9"/>
  <c r="BH122" i="9"/>
  <c r="BG122" i="9"/>
  <c r="BF122" i="9"/>
  <c r="BE122" i="9"/>
  <c r="BD122" i="9"/>
  <c r="BC122" i="9"/>
  <c r="BB122" i="9"/>
  <c r="BA122" i="9"/>
  <c r="AZ122" i="9"/>
  <c r="AY122" i="9"/>
  <c r="AX122" i="9"/>
  <c r="AW122" i="9"/>
  <c r="AV122" i="9"/>
  <c r="AU122" i="9"/>
  <c r="AT122" i="9"/>
  <c r="AS122" i="9"/>
  <c r="AR122" i="9"/>
  <c r="AQ122" i="9"/>
  <c r="AO122" i="9"/>
  <c r="AN122" i="9"/>
  <c r="AM122" i="9"/>
  <c r="AK122" i="9"/>
  <c r="AJ122" i="9"/>
  <c r="AI122" i="9"/>
  <c r="AG122" i="9"/>
  <c r="AF122" i="9"/>
  <c r="AE122" i="9"/>
  <c r="AC122" i="9"/>
  <c r="AB122" i="9"/>
  <c r="AA122" i="9"/>
  <c r="Y122" i="9"/>
  <c r="X122" i="9"/>
  <c r="W122" i="9"/>
  <c r="V122" i="9"/>
  <c r="U122" i="9"/>
  <c r="S122" i="9"/>
  <c r="O122" i="9"/>
  <c r="K122" i="9"/>
  <c r="G122" i="9"/>
  <c r="C122" i="9"/>
  <c r="AQ121" i="9"/>
  <c r="AO121" i="9"/>
  <c r="AN121" i="9"/>
  <c r="AM121" i="9"/>
  <c r="AK121" i="9"/>
  <c r="AJ121" i="9"/>
  <c r="AI121" i="9"/>
  <c r="AG121" i="9"/>
  <c r="AF121" i="9"/>
  <c r="AE121" i="9"/>
  <c r="AC121" i="9"/>
  <c r="AB121" i="9"/>
  <c r="AA121" i="9"/>
  <c r="Y121" i="9"/>
  <c r="X121" i="9"/>
  <c r="W121" i="9"/>
  <c r="V121" i="9"/>
  <c r="U121" i="9"/>
  <c r="S121" i="9"/>
  <c r="AN120" i="9"/>
  <c r="AM120" i="9"/>
  <c r="AK120" i="9"/>
  <c r="AJ120" i="9"/>
  <c r="AI120" i="9"/>
  <c r="AG120" i="9"/>
  <c r="AF120" i="9"/>
  <c r="X120" i="9"/>
  <c r="W120" i="9"/>
  <c r="V120" i="9"/>
  <c r="R120" i="9"/>
  <c r="DN117" i="9"/>
  <c r="DM117" i="9"/>
  <c r="DL117" i="9"/>
  <c r="DK117" i="9"/>
  <c r="DJ117" i="9"/>
  <c r="DI117" i="9"/>
  <c r="DH117" i="9"/>
  <c r="DG117" i="9"/>
  <c r="DF117" i="9"/>
  <c r="DE117" i="9"/>
  <c r="DD117" i="9"/>
  <c r="DC117" i="9"/>
  <c r="DB117" i="9"/>
  <c r="DA117" i="9"/>
  <c r="CZ117" i="9"/>
  <c r="CY117" i="9"/>
  <c r="CX117" i="9"/>
  <c r="CW117" i="9"/>
  <c r="CV117" i="9"/>
  <c r="CU117" i="9"/>
  <c r="CT117" i="9"/>
  <c r="CS117" i="9"/>
  <c r="CR117" i="9"/>
  <c r="CQ117" i="9"/>
  <c r="CP117" i="9"/>
  <c r="CO117" i="9"/>
  <c r="CN117" i="9"/>
  <c r="CM117" i="9"/>
  <c r="CL117" i="9"/>
  <c r="CK117" i="9"/>
  <c r="CJ117" i="9"/>
  <c r="CI117" i="9"/>
  <c r="CH117" i="9"/>
  <c r="CG117" i="9"/>
  <c r="CF117" i="9"/>
  <c r="CE117" i="9"/>
  <c r="CD117" i="9"/>
  <c r="CC117" i="9"/>
  <c r="CB117" i="9"/>
  <c r="CA117" i="9"/>
  <c r="BZ117" i="9"/>
  <c r="BY117" i="9"/>
  <c r="BX117" i="9"/>
  <c r="BW117" i="9"/>
  <c r="BV117" i="9"/>
  <c r="BU117" i="9"/>
  <c r="BT117" i="9"/>
  <c r="BS117" i="9"/>
  <c r="BR117" i="9"/>
  <c r="BQ117" i="9"/>
  <c r="BP117" i="9"/>
  <c r="BO117" i="9"/>
  <c r="BN117" i="9"/>
  <c r="BM117" i="9"/>
  <c r="BL117" i="9"/>
  <c r="BK117" i="9"/>
  <c r="BJ117" i="9"/>
  <c r="BI117" i="9"/>
  <c r="BH117" i="9"/>
  <c r="BG117" i="9"/>
  <c r="BF117" i="9"/>
  <c r="BE117" i="9"/>
  <c r="BD117" i="9"/>
  <c r="BC117" i="9"/>
  <c r="BB117" i="9"/>
  <c r="BA117" i="9"/>
  <c r="AZ117" i="9"/>
  <c r="AY117" i="9"/>
  <c r="AX117" i="9"/>
  <c r="AW117" i="9"/>
  <c r="AV117" i="9"/>
  <c r="AU117" i="9"/>
  <c r="AT117" i="9"/>
  <c r="AS117" i="9"/>
  <c r="AR117" i="9"/>
  <c r="AQ117" i="9"/>
  <c r="AO117" i="9"/>
  <c r="AN117" i="9"/>
  <c r="AM117" i="9"/>
  <c r="AK117" i="9"/>
  <c r="AJ117" i="9"/>
  <c r="AI117" i="9"/>
  <c r="AG117" i="9"/>
  <c r="AF117" i="9"/>
  <c r="AE117" i="9"/>
  <c r="AC117" i="9"/>
  <c r="Y117" i="9"/>
  <c r="X117" i="9"/>
  <c r="W117" i="9"/>
  <c r="V117" i="9"/>
  <c r="U117" i="9"/>
  <c r="S117" i="9"/>
  <c r="R117" i="9"/>
  <c r="Q117" i="9"/>
  <c r="O117" i="9"/>
  <c r="N117" i="9"/>
  <c r="M117" i="9"/>
  <c r="K117" i="9"/>
  <c r="J117" i="9"/>
  <c r="I117" i="9"/>
  <c r="G117" i="9"/>
  <c r="F117" i="9"/>
  <c r="E117" i="9"/>
  <c r="C117" i="9"/>
  <c r="AQ116" i="9"/>
  <c r="AM116" i="9"/>
  <c r="AI116" i="9"/>
  <c r="AE116" i="9"/>
  <c r="AA116" i="9"/>
  <c r="W116" i="9"/>
  <c r="V116" i="9"/>
  <c r="U116" i="9"/>
  <c r="Q116" i="9"/>
  <c r="M116" i="9"/>
  <c r="I116" i="9"/>
  <c r="E116" i="9"/>
  <c r="CY115" i="9"/>
  <c r="CY107" i="9" s="1"/>
  <c r="AM115" i="9"/>
  <c r="AI115" i="9"/>
  <c r="AI107" i="9" s="1"/>
  <c r="AE115" i="9"/>
  <c r="AA115" i="9"/>
  <c r="AA107" i="9" s="1"/>
  <c r="W115" i="9"/>
  <c r="V115" i="9"/>
  <c r="U115" i="9"/>
  <c r="Q115" i="9"/>
  <c r="M115" i="9"/>
  <c r="I115" i="9"/>
  <c r="E115" i="9"/>
  <c r="V114" i="9"/>
  <c r="AE113" i="9"/>
  <c r="V113" i="9"/>
  <c r="U113" i="9"/>
  <c r="Q113" i="9"/>
  <c r="DN112" i="9"/>
  <c r="DM112" i="9"/>
  <c r="DL112" i="9"/>
  <c r="DK112" i="9"/>
  <c r="DJ112" i="9"/>
  <c r="DI112" i="9"/>
  <c r="DH112" i="9"/>
  <c r="DG112" i="9"/>
  <c r="DF112" i="9"/>
  <c r="DE112" i="9"/>
  <c r="DD112" i="9"/>
  <c r="DC112" i="9"/>
  <c r="DB112" i="9"/>
  <c r="DA112" i="9"/>
  <c r="CZ112" i="9"/>
  <c r="CY112" i="9"/>
  <c r="CX112" i="9"/>
  <c r="CW112" i="9"/>
  <c r="CV112" i="9"/>
  <c r="CU112" i="9"/>
  <c r="CT112" i="9"/>
  <c r="CS112" i="9"/>
  <c r="CR112" i="9"/>
  <c r="CQ112" i="9"/>
  <c r="CP112" i="9"/>
  <c r="CO112" i="9"/>
  <c r="CN112" i="9"/>
  <c r="CM112" i="9"/>
  <c r="CL112" i="9"/>
  <c r="CK112" i="9"/>
  <c r="CJ112" i="9"/>
  <c r="CI112" i="9"/>
  <c r="CH112" i="9"/>
  <c r="CG112" i="9"/>
  <c r="CF112" i="9"/>
  <c r="CE112" i="9"/>
  <c r="CD112" i="9"/>
  <c r="CC112" i="9"/>
  <c r="CB112" i="9"/>
  <c r="CA112" i="9"/>
  <c r="BZ112" i="9"/>
  <c r="BY112" i="9"/>
  <c r="BX112" i="9"/>
  <c r="BW112" i="9"/>
  <c r="BV112" i="9"/>
  <c r="BU112" i="9"/>
  <c r="BT112" i="9"/>
  <c r="BS112" i="9"/>
  <c r="BR112" i="9"/>
  <c r="BQ112" i="9"/>
  <c r="BP112" i="9"/>
  <c r="BO112" i="9"/>
  <c r="BN112" i="9"/>
  <c r="BM112" i="9"/>
  <c r="BL112" i="9"/>
  <c r="BK112" i="9"/>
  <c r="BJ112" i="9"/>
  <c r="BI112" i="9"/>
  <c r="BH112" i="9"/>
  <c r="BG112" i="9"/>
  <c r="BF112" i="9"/>
  <c r="BE112" i="9"/>
  <c r="BD112" i="9"/>
  <c r="BC112" i="9"/>
  <c r="BB112" i="9"/>
  <c r="BA112" i="9"/>
  <c r="AZ112" i="9"/>
  <c r="AY112" i="9"/>
  <c r="AX112" i="9"/>
  <c r="AW112" i="9"/>
  <c r="AV112" i="9"/>
  <c r="AU112" i="9"/>
  <c r="AT112" i="9"/>
  <c r="AS112" i="9"/>
  <c r="AO112" i="9"/>
  <c r="AK112" i="9"/>
  <c r="AJ112" i="9"/>
  <c r="AG112" i="9"/>
  <c r="AC112" i="9"/>
  <c r="Y112" i="9"/>
  <c r="V112" i="9"/>
  <c r="S112" i="9"/>
  <c r="O112" i="9"/>
  <c r="K112" i="9"/>
  <c r="G112" i="9"/>
  <c r="C112" i="9"/>
  <c r="DN109" i="9"/>
  <c r="DM109" i="9"/>
  <c r="DL109" i="9"/>
  <c r="DK109" i="9"/>
  <c r="DJ109" i="9"/>
  <c r="DI109" i="9"/>
  <c r="DH109" i="9"/>
  <c r="DG109" i="9"/>
  <c r="DF109" i="9"/>
  <c r="DE109" i="9"/>
  <c r="DD109" i="9"/>
  <c r="DC109" i="9"/>
  <c r="DB109" i="9"/>
  <c r="DA109" i="9"/>
  <c r="CZ109" i="9"/>
  <c r="CY109" i="9"/>
  <c r="CX109" i="9"/>
  <c r="CW109" i="9"/>
  <c r="CV109" i="9"/>
  <c r="CU109" i="9"/>
  <c r="CT109" i="9"/>
  <c r="CS109" i="9"/>
  <c r="CR109" i="9"/>
  <c r="CQ109" i="9"/>
  <c r="CP109" i="9"/>
  <c r="CO109" i="9"/>
  <c r="CN109" i="9"/>
  <c r="CM109" i="9"/>
  <c r="CL109" i="9"/>
  <c r="CK109" i="9"/>
  <c r="CJ109" i="9"/>
  <c r="CI109" i="9"/>
  <c r="CH109" i="9"/>
  <c r="CG109" i="9"/>
  <c r="CF109" i="9"/>
  <c r="CE109" i="9"/>
  <c r="CD109" i="9"/>
  <c r="CC109" i="9"/>
  <c r="CB109" i="9"/>
  <c r="CA109" i="9"/>
  <c r="BZ109" i="9"/>
  <c r="BY109" i="9"/>
  <c r="BX109" i="9"/>
  <c r="BW109" i="9"/>
  <c r="BV109" i="9"/>
  <c r="BU109" i="9"/>
  <c r="BT109" i="9"/>
  <c r="BS109" i="9"/>
  <c r="BR109" i="9"/>
  <c r="BQ109" i="9"/>
  <c r="BP109" i="9"/>
  <c r="BO109" i="9"/>
  <c r="BN109" i="9"/>
  <c r="BM109" i="9"/>
  <c r="BL109" i="9"/>
  <c r="BK109" i="9"/>
  <c r="BJ109" i="9"/>
  <c r="BI109" i="9"/>
  <c r="BH109" i="9"/>
  <c r="BG109" i="9"/>
  <c r="BF109" i="9"/>
  <c r="BE109" i="9"/>
  <c r="BD109" i="9"/>
  <c r="BC109" i="9"/>
  <c r="BB109" i="9"/>
  <c r="BA109" i="9"/>
  <c r="AZ109" i="9"/>
  <c r="AY109" i="9"/>
  <c r="AX109" i="9"/>
  <c r="AW109" i="9"/>
  <c r="AV109" i="9"/>
  <c r="AU109" i="9"/>
  <c r="AT109" i="9"/>
  <c r="AS109" i="9"/>
  <c r="AO109" i="9"/>
  <c r="AK109" i="9"/>
  <c r="AJ109" i="9"/>
  <c r="AG109" i="9"/>
  <c r="AC109" i="9"/>
  <c r="Y109" i="9"/>
  <c r="V109" i="9"/>
  <c r="S109" i="9"/>
  <c r="O109" i="9"/>
  <c r="K109" i="9"/>
  <c r="G109" i="9"/>
  <c r="C109" i="9"/>
  <c r="DN108" i="9"/>
  <c r="DM108" i="9"/>
  <c r="DL108" i="9"/>
  <c r="DK108" i="9"/>
  <c r="DJ108" i="9"/>
  <c r="DI108" i="9"/>
  <c r="DH108" i="9"/>
  <c r="DG108" i="9"/>
  <c r="DF108" i="9"/>
  <c r="DE108" i="9"/>
  <c r="DD108" i="9"/>
  <c r="DC108" i="9"/>
  <c r="DB108" i="9"/>
  <c r="DA108" i="9"/>
  <c r="CZ108" i="9"/>
  <c r="CY108" i="9"/>
  <c r="CX108" i="9"/>
  <c r="CW108" i="9"/>
  <c r="CV108" i="9"/>
  <c r="CU108" i="9"/>
  <c r="CT108" i="9"/>
  <c r="CS108" i="9"/>
  <c r="CR108" i="9"/>
  <c r="CQ108" i="9"/>
  <c r="CP108" i="9"/>
  <c r="CO108" i="9"/>
  <c r="CN108" i="9"/>
  <c r="CM108" i="9"/>
  <c r="CL108" i="9"/>
  <c r="CK108" i="9"/>
  <c r="CJ108" i="9"/>
  <c r="CI108" i="9"/>
  <c r="CH108" i="9"/>
  <c r="CG108" i="9"/>
  <c r="CF108" i="9"/>
  <c r="CE108" i="9"/>
  <c r="CD108" i="9"/>
  <c r="CC108" i="9"/>
  <c r="CB108" i="9"/>
  <c r="CA108" i="9"/>
  <c r="BZ108" i="9"/>
  <c r="BY108" i="9"/>
  <c r="BX108" i="9"/>
  <c r="BW108" i="9"/>
  <c r="BV108" i="9"/>
  <c r="BU108" i="9"/>
  <c r="BT108" i="9"/>
  <c r="BS108" i="9"/>
  <c r="BR108" i="9"/>
  <c r="BQ108" i="9"/>
  <c r="BP108" i="9"/>
  <c r="BO108" i="9"/>
  <c r="BN108" i="9"/>
  <c r="BM108" i="9"/>
  <c r="BL108" i="9"/>
  <c r="BK108" i="9"/>
  <c r="BJ108" i="9"/>
  <c r="BI108" i="9"/>
  <c r="BH108" i="9"/>
  <c r="BG108" i="9"/>
  <c r="BF108" i="9"/>
  <c r="BE108" i="9"/>
  <c r="BD108" i="9"/>
  <c r="BC108" i="9"/>
  <c r="BB108" i="9"/>
  <c r="BA108" i="9"/>
  <c r="AZ108" i="9"/>
  <c r="AY108" i="9"/>
  <c r="AX108" i="9"/>
  <c r="AW108" i="9"/>
  <c r="AV108" i="9"/>
  <c r="AU108" i="9"/>
  <c r="AT108" i="9"/>
  <c r="AS108" i="9"/>
  <c r="AR108" i="9"/>
  <c r="AQ108" i="9"/>
  <c r="AO108" i="9"/>
  <c r="AN108" i="9"/>
  <c r="AM108" i="9"/>
  <c r="AK108" i="9"/>
  <c r="AJ108" i="9"/>
  <c r="AI108" i="9"/>
  <c r="AG108" i="9"/>
  <c r="AF108" i="9"/>
  <c r="AE108" i="9"/>
  <c r="AC108" i="9"/>
  <c r="AB108" i="9"/>
  <c r="AA108" i="9"/>
  <c r="Y108" i="9"/>
  <c r="X108" i="9"/>
  <c r="W108" i="9"/>
  <c r="V108" i="9"/>
  <c r="U108" i="9"/>
  <c r="S108" i="9"/>
  <c r="AM107" i="9"/>
  <c r="AE107" i="9"/>
  <c r="W107" i="9"/>
  <c r="U107" i="9"/>
  <c r="AR106" i="9"/>
  <c r="AQ106" i="9"/>
  <c r="AO106" i="9"/>
  <c r="AN106" i="9"/>
  <c r="AM106" i="9"/>
  <c r="AK106" i="9"/>
  <c r="AJ106" i="9"/>
  <c r="AI106" i="9"/>
  <c r="AG106" i="9"/>
  <c r="AF106" i="9"/>
  <c r="AE106" i="9"/>
  <c r="AC106" i="9"/>
  <c r="AB106" i="9"/>
  <c r="AA106" i="9"/>
  <c r="Y106" i="9"/>
  <c r="X106" i="9"/>
  <c r="W106" i="9"/>
  <c r="V106" i="9"/>
  <c r="U106" i="9"/>
  <c r="S106" i="9"/>
  <c r="O106" i="9"/>
  <c r="K106" i="9"/>
  <c r="G106" i="9"/>
  <c r="C106" i="9"/>
  <c r="AO105" i="9"/>
  <c r="AN105" i="9"/>
  <c r="AM105" i="9"/>
  <c r="AK105" i="9"/>
  <c r="AJ105" i="9"/>
  <c r="AG105" i="9"/>
  <c r="AC105" i="9"/>
  <c r="Y105" i="9"/>
  <c r="X105" i="9"/>
  <c r="W105" i="9"/>
  <c r="V105" i="9"/>
  <c r="U105" i="9"/>
  <c r="S105" i="9"/>
  <c r="O105" i="9"/>
  <c r="K105" i="9"/>
  <c r="G105" i="9"/>
  <c r="C105" i="9"/>
  <c r="DN104" i="9"/>
  <c r="DM104" i="9"/>
  <c r="DL104" i="9"/>
  <c r="DK104" i="9"/>
  <c r="DJ104" i="9"/>
  <c r="DI104" i="9"/>
  <c r="DH104" i="9"/>
  <c r="DG104" i="9"/>
  <c r="DF104" i="9"/>
  <c r="DE104" i="9"/>
  <c r="DD104" i="9"/>
  <c r="DC104" i="9"/>
  <c r="DB104" i="9"/>
  <c r="DA104" i="9"/>
  <c r="CZ104" i="9"/>
  <c r="CY104" i="9"/>
  <c r="CX104" i="9"/>
  <c r="CW104" i="9"/>
  <c r="CV104" i="9"/>
  <c r="CU104" i="9"/>
  <c r="CT104" i="9"/>
  <c r="CS104" i="9"/>
  <c r="CR104" i="9"/>
  <c r="CQ104" i="9"/>
  <c r="CP104" i="9"/>
  <c r="CO104" i="9"/>
  <c r="CN104" i="9"/>
  <c r="CM104" i="9"/>
  <c r="CL104" i="9"/>
  <c r="CK104" i="9"/>
  <c r="CJ104" i="9"/>
  <c r="CI104" i="9"/>
  <c r="CH104" i="9"/>
  <c r="CG104" i="9"/>
  <c r="CF104" i="9"/>
  <c r="CE104" i="9"/>
  <c r="CD104" i="9"/>
  <c r="CC104" i="9"/>
  <c r="CB104" i="9"/>
  <c r="CA104" i="9"/>
  <c r="BZ104" i="9"/>
  <c r="BY104" i="9"/>
  <c r="BX104" i="9"/>
  <c r="BW104" i="9"/>
  <c r="BV104" i="9"/>
  <c r="BU104" i="9"/>
  <c r="BT104" i="9"/>
  <c r="BS104" i="9"/>
  <c r="BR104" i="9"/>
  <c r="BQ104" i="9"/>
  <c r="BP104" i="9"/>
  <c r="BO104" i="9"/>
  <c r="BN104" i="9"/>
  <c r="BM104" i="9"/>
  <c r="BL104" i="9"/>
  <c r="BK104" i="9"/>
  <c r="BJ104" i="9"/>
  <c r="BI104" i="9"/>
  <c r="BH104" i="9"/>
  <c r="BG104" i="9"/>
  <c r="BF104" i="9"/>
  <c r="BE104" i="9"/>
  <c r="BD104" i="9"/>
  <c r="BC104" i="9"/>
  <c r="BB104" i="9"/>
  <c r="BA104" i="9"/>
  <c r="AZ104" i="9"/>
  <c r="AY104" i="9"/>
  <c r="AX104" i="9"/>
  <c r="AW104" i="9"/>
  <c r="AV104" i="9"/>
  <c r="AU104" i="9"/>
  <c r="AT104" i="9"/>
  <c r="AS104" i="9"/>
  <c r="AO104" i="9"/>
  <c r="AN104" i="9"/>
  <c r="AM104" i="9"/>
  <c r="AK104" i="9"/>
  <c r="AJ104" i="9"/>
  <c r="AG104" i="9"/>
  <c r="AC104" i="9"/>
  <c r="Y104" i="9"/>
  <c r="X104" i="9"/>
  <c r="W104" i="9"/>
  <c r="V104" i="9"/>
  <c r="S104" i="9"/>
  <c r="O104" i="9"/>
  <c r="K104" i="9"/>
  <c r="G104" i="9"/>
  <c r="C104" i="9"/>
  <c r="AE101" i="9"/>
  <c r="V101" i="9"/>
  <c r="U101" i="9"/>
  <c r="Q101" i="9"/>
  <c r="AQ100" i="9"/>
  <c r="AM100" i="9"/>
  <c r="AI100" i="9"/>
  <c r="AE100" i="9"/>
  <c r="V100" i="9"/>
  <c r="AM97" i="9"/>
  <c r="AI97" i="9"/>
  <c r="W97" i="9"/>
  <c r="V97" i="9"/>
  <c r="DN96" i="9"/>
  <c r="DM96" i="9"/>
  <c r="DL96" i="9"/>
  <c r="DK96" i="9"/>
  <c r="DJ96" i="9"/>
  <c r="DI96" i="9"/>
  <c r="DH96" i="9"/>
  <c r="DG96" i="9"/>
  <c r="DF96" i="9"/>
  <c r="DE96" i="9"/>
  <c r="DD96" i="9"/>
  <c r="DC96" i="9"/>
  <c r="DB96" i="9"/>
  <c r="DA96" i="9"/>
  <c r="CZ96" i="9"/>
  <c r="CY96" i="9"/>
  <c r="CX96" i="9"/>
  <c r="CW96" i="9"/>
  <c r="CV96" i="9"/>
  <c r="CU96" i="9"/>
  <c r="CT96" i="9"/>
  <c r="CS96" i="9"/>
  <c r="CR96" i="9"/>
  <c r="CQ96" i="9"/>
  <c r="CP96" i="9"/>
  <c r="CO96" i="9"/>
  <c r="CN96" i="9"/>
  <c r="CM96" i="9"/>
  <c r="CL96" i="9"/>
  <c r="CK96" i="9"/>
  <c r="CJ96" i="9"/>
  <c r="CI96" i="9"/>
  <c r="CH96" i="9"/>
  <c r="CG96" i="9"/>
  <c r="CF96" i="9"/>
  <c r="CE96" i="9"/>
  <c r="CD96" i="9"/>
  <c r="CC96" i="9"/>
  <c r="CB96" i="9"/>
  <c r="CA96" i="9"/>
  <c r="BZ96" i="9"/>
  <c r="BY96" i="9"/>
  <c r="BX96" i="9"/>
  <c r="BW96" i="9"/>
  <c r="BV96" i="9"/>
  <c r="BU96" i="9"/>
  <c r="BT96" i="9"/>
  <c r="BS96" i="9"/>
  <c r="BR96" i="9"/>
  <c r="BQ96" i="9"/>
  <c r="BP96" i="9"/>
  <c r="BO96" i="9"/>
  <c r="BN96" i="9"/>
  <c r="BM96" i="9"/>
  <c r="BL96" i="9"/>
  <c r="BK96" i="9"/>
  <c r="BJ96" i="9"/>
  <c r="BI96" i="9"/>
  <c r="BH96" i="9"/>
  <c r="BG96" i="9"/>
  <c r="BF96" i="9"/>
  <c r="BE96" i="9"/>
  <c r="BD96" i="9"/>
  <c r="BC96" i="9"/>
  <c r="BB96" i="9"/>
  <c r="BA96" i="9"/>
  <c r="AZ96" i="9"/>
  <c r="AY96" i="9"/>
  <c r="AX96" i="9"/>
  <c r="AW96" i="9"/>
  <c r="AV96" i="9"/>
  <c r="AU96" i="9"/>
  <c r="AT96" i="9"/>
  <c r="AS96" i="9"/>
  <c r="AO96" i="9"/>
  <c r="AK96" i="9"/>
  <c r="AJ96" i="9"/>
  <c r="AG96" i="9"/>
  <c r="AC96" i="9"/>
  <c r="Y96" i="9"/>
  <c r="V96" i="9"/>
  <c r="S96" i="9"/>
  <c r="O96" i="9"/>
  <c r="K96" i="9"/>
  <c r="G96" i="9"/>
  <c r="C96" i="9"/>
  <c r="AQ95" i="9"/>
  <c r="AM95" i="9"/>
  <c r="AI95" i="9"/>
  <c r="AE95" i="9"/>
  <c r="AA95" i="9"/>
  <c r="W95" i="9"/>
  <c r="V95" i="9"/>
  <c r="U95" i="9"/>
  <c r="DN94" i="9"/>
  <c r="DM94" i="9"/>
  <c r="DL94" i="9"/>
  <c r="DK94" i="9"/>
  <c r="DJ94" i="9"/>
  <c r="DI94" i="9"/>
  <c r="DH94" i="9"/>
  <c r="DG94" i="9"/>
  <c r="DF94" i="9"/>
  <c r="DE94" i="9"/>
  <c r="DD94" i="9"/>
  <c r="DC94" i="9"/>
  <c r="DB94" i="9"/>
  <c r="DA94" i="9"/>
  <c r="CZ94" i="9"/>
  <c r="CY94" i="9"/>
  <c r="CX94" i="9"/>
  <c r="CW94" i="9"/>
  <c r="CV94" i="9"/>
  <c r="CU94" i="9"/>
  <c r="CT94" i="9"/>
  <c r="CS94" i="9"/>
  <c r="CR94" i="9"/>
  <c r="CQ94" i="9"/>
  <c r="CP94" i="9"/>
  <c r="CO94" i="9"/>
  <c r="CN94" i="9"/>
  <c r="CM94" i="9"/>
  <c r="CL94" i="9"/>
  <c r="CK94" i="9"/>
  <c r="CJ94" i="9"/>
  <c r="CI94" i="9"/>
  <c r="CH94" i="9"/>
  <c r="CG94" i="9"/>
  <c r="CF94" i="9"/>
  <c r="CE94" i="9"/>
  <c r="CD94" i="9"/>
  <c r="CC94" i="9"/>
  <c r="CB94" i="9"/>
  <c r="CA94" i="9"/>
  <c r="BZ94" i="9"/>
  <c r="BY94" i="9"/>
  <c r="BX94" i="9"/>
  <c r="BW94" i="9"/>
  <c r="BV94" i="9"/>
  <c r="BU94" i="9"/>
  <c r="BT94" i="9"/>
  <c r="BS94" i="9"/>
  <c r="BR94" i="9"/>
  <c r="BQ94" i="9"/>
  <c r="BP94" i="9"/>
  <c r="BO94" i="9"/>
  <c r="BN94" i="9"/>
  <c r="BM94" i="9"/>
  <c r="BL94" i="9"/>
  <c r="BK94" i="9"/>
  <c r="BJ94" i="9"/>
  <c r="BI94" i="9"/>
  <c r="BH94" i="9"/>
  <c r="BG94" i="9"/>
  <c r="BF94" i="9"/>
  <c r="BE94" i="9"/>
  <c r="BD94" i="9"/>
  <c r="BC94" i="9"/>
  <c r="BB94" i="9"/>
  <c r="BA94" i="9"/>
  <c r="AZ94" i="9"/>
  <c r="AY94" i="9"/>
  <c r="AX94" i="9"/>
  <c r="AW94" i="9"/>
  <c r="AV94" i="9"/>
  <c r="AU94" i="9"/>
  <c r="AT94" i="9"/>
  <c r="AS94" i="9"/>
  <c r="AO94" i="9"/>
  <c r="AK94" i="9"/>
  <c r="AJ94" i="9"/>
  <c r="AG94" i="9"/>
  <c r="AC94" i="9"/>
  <c r="Y94" i="9"/>
  <c r="V94" i="9"/>
  <c r="S94" i="9"/>
  <c r="O94" i="9"/>
  <c r="K94" i="9"/>
  <c r="G94" i="9"/>
  <c r="C94" i="9"/>
  <c r="AO91" i="9"/>
  <c r="AK91" i="9"/>
  <c r="AJ91" i="9"/>
  <c r="AG91" i="9"/>
  <c r="AC91" i="9"/>
  <c r="Y91" i="9"/>
  <c r="S91" i="9"/>
  <c r="O91" i="9"/>
  <c r="K91" i="9"/>
  <c r="G91" i="9"/>
  <c r="C91" i="9"/>
  <c r="AO90" i="9"/>
  <c r="AK90" i="9"/>
  <c r="AJ90" i="9"/>
  <c r="AG90" i="9"/>
  <c r="AC90" i="9"/>
  <c r="Y90" i="9"/>
  <c r="V90" i="9"/>
  <c r="S90" i="9"/>
  <c r="O90" i="9"/>
  <c r="K90" i="9"/>
  <c r="G90" i="9"/>
  <c r="C90" i="9"/>
  <c r="DN88" i="9"/>
  <c r="DM88" i="9"/>
  <c r="DL88" i="9"/>
  <c r="DK88" i="9"/>
  <c r="DJ88" i="9"/>
  <c r="DI88" i="9"/>
  <c r="DH88" i="9"/>
  <c r="DG88" i="9"/>
  <c r="DF88" i="9"/>
  <c r="DE88" i="9"/>
  <c r="DD88" i="9"/>
  <c r="DC88" i="9"/>
  <c r="DB88" i="9"/>
  <c r="DA88" i="9"/>
  <c r="CZ88" i="9"/>
  <c r="CY88" i="9"/>
  <c r="CX88" i="9"/>
  <c r="CW88" i="9"/>
  <c r="CV88" i="9"/>
  <c r="CU88" i="9"/>
  <c r="CT88" i="9"/>
  <c r="CS88" i="9"/>
  <c r="CR88" i="9"/>
  <c r="CQ88" i="9"/>
  <c r="CP88" i="9"/>
  <c r="CO88" i="9"/>
  <c r="CN88" i="9"/>
  <c r="CM88" i="9"/>
  <c r="CL88" i="9"/>
  <c r="CK88" i="9"/>
  <c r="CJ88" i="9"/>
  <c r="CI88" i="9"/>
  <c r="CH88" i="9"/>
  <c r="CG88" i="9"/>
  <c r="CF88" i="9"/>
  <c r="CE88" i="9"/>
  <c r="CD88" i="9"/>
  <c r="CC88" i="9"/>
  <c r="CB88" i="9"/>
  <c r="CA88" i="9"/>
  <c r="BZ88" i="9"/>
  <c r="BY88" i="9"/>
  <c r="BX88" i="9"/>
  <c r="BW88" i="9"/>
  <c r="BV88" i="9"/>
  <c r="BU88" i="9"/>
  <c r="BT88" i="9"/>
  <c r="BS88" i="9"/>
  <c r="BR88" i="9"/>
  <c r="BQ88" i="9"/>
  <c r="BP88" i="9"/>
  <c r="BO88" i="9"/>
  <c r="BN88" i="9"/>
  <c r="BM88" i="9"/>
  <c r="BL88" i="9"/>
  <c r="BK88" i="9"/>
  <c r="BJ88" i="9"/>
  <c r="BI88" i="9"/>
  <c r="BH88" i="9"/>
  <c r="BG88" i="9"/>
  <c r="BF88" i="9"/>
  <c r="BE88" i="9"/>
  <c r="BD88" i="9"/>
  <c r="BC88" i="9"/>
  <c r="BB88" i="9"/>
  <c r="BA88" i="9"/>
  <c r="AZ88" i="9"/>
  <c r="AY88" i="9"/>
  <c r="AX88" i="9"/>
  <c r="AW88" i="9"/>
  <c r="AV88" i="9"/>
  <c r="AU88" i="9"/>
  <c r="AT88" i="9"/>
  <c r="AS88" i="9"/>
  <c r="AO88" i="9"/>
  <c r="AK88" i="9"/>
  <c r="AJ88" i="9"/>
  <c r="AG88" i="9"/>
  <c r="AC88" i="9"/>
  <c r="Y88" i="9"/>
  <c r="V88" i="9"/>
  <c r="U88" i="9"/>
  <c r="S88" i="9"/>
  <c r="O88" i="9"/>
  <c r="K88" i="9"/>
  <c r="G88" i="9"/>
  <c r="C88" i="9"/>
  <c r="DN87" i="9"/>
  <c r="DL87" i="9"/>
  <c r="DJ87" i="9"/>
  <c r="DH87" i="9"/>
  <c r="DF87" i="9"/>
  <c r="DD87" i="9"/>
  <c r="DB87" i="9"/>
  <c r="CZ87" i="9"/>
  <c r="CX87" i="9"/>
  <c r="CV87" i="9"/>
  <c r="CT87" i="9"/>
  <c r="CR87" i="9"/>
  <c r="CP87" i="9"/>
  <c r="CN87" i="9"/>
  <c r="CL87" i="9"/>
  <c r="CJ87" i="9"/>
  <c r="CH87" i="9"/>
  <c r="CF87" i="9"/>
  <c r="CD87" i="9"/>
  <c r="CB87" i="9"/>
  <c r="BZ87" i="9"/>
  <c r="BX87" i="9"/>
  <c r="BV87" i="9"/>
  <c r="BT87" i="9"/>
  <c r="BR87" i="9"/>
  <c r="BP87" i="9"/>
  <c r="BN87" i="9"/>
  <c r="BL87" i="9"/>
  <c r="BJ87" i="9"/>
  <c r="BH87" i="9"/>
  <c r="BF87" i="9"/>
  <c r="BD87" i="9"/>
  <c r="BB87" i="9"/>
  <c r="AZ87" i="9"/>
  <c r="AX87" i="9"/>
  <c r="AV87" i="9"/>
  <c r="AT87" i="9"/>
  <c r="AK87" i="9"/>
  <c r="AI87" i="9"/>
  <c r="AC87" i="9"/>
  <c r="X87" i="9"/>
  <c r="V87" i="9"/>
  <c r="S87" i="9"/>
  <c r="M87" i="9"/>
  <c r="F87" i="9"/>
  <c r="C87" i="9"/>
  <c r="DN86" i="9"/>
  <c r="DM86" i="9"/>
  <c r="DL86" i="9"/>
  <c r="DK86" i="9"/>
  <c r="DJ86" i="9"/>
  <c r="DI86" i="9"/>
  <c r="DH86" i="9"/>
  <c r="DG86" i="9"/>
  <c r="DF86" i="9"/>
  <c r="DE86" i="9"/>
  <c r="DD86" i="9"/>
  <c r="DC86" i="9"/>
  <c r="DB86" i="9"/>
  <c r="DA86" i="9"/>
  <c r="CZ86" i="9"/>
  <c r="CY86" i="9"/>
  <c r="CX86" i="9"/>
  <c r="CW86" i="9"/>
  <c r="CV86" i="9"/>
  <c r="CU86" i="9"/>
  <c r="CT86" i="9"/>
  <c r="CS86" i="9"/>
  <c r="CR86" i="9"/>
  <c r="CQ86" i="9"/>
  <c r="CP86" i="9"/>
  <c r="CO86" i="9"/>
  <c r="CN86" i="9"/>
  <c r="CM86" i="9"/>
  <c r="CL86" i="9"/>
  <c r="CK86" i="9"/>
  <c r="CJ86" i="9"/>
  <c r="CI86" i="9"/>
  <c r="CH86" i="9"/>
  <c r="CG86" i="9"/>
  <c r="CF86" i="9"/>
  <c r="CE86" i="9"/>
  <c r="CD86" i="9"/>
  <c r="CC86" i="9"/>
  <c r="CB86" i="9"/>
  <c r="CA86" i="9"/>
  <c r="BZ86" i="9"/>
  <c r="BY86" i="9"/>
  <c r="BX86" i="9"/>
  <c r="BW86" i="9"/>
  <c r="BV86" i="9"/>
  <c r="BU86" i="9"/>
  <c r="BT86" i="9"/>
  <c r="BS86" i="9"/>
  <c r="BR86" i="9"/>
  <c r="BQ86" i="9"/>
  <c r="BP86" i="9"/>
  <c r="BO86" i="9"/>
  <c r="BN86" i="9"/>
  <c r="BM86" i="9"/>
  <c r="BL86" i="9"/>
  <c r="BK86" i="9"/>
  <c r="BJ86" i="9"/>
  <c r="BI86" i="9"/>
  <c r="BH86" i="9"/>
  <c r="BG86" i="9"/>
  <c r="BF86" i="9"/>
  <c r="BE86" i="9"/>
  <c r="BD86" i="9"/>
  <c r="BC86" i="9"/>
  <c r="BB86" i="9"/>
  <c r="BA86" i="9"/>
  <c r="AZ86" i="9"/>
  <c r="AY86" i="9"/>
  <c r="AX86" i="9"/>
  <c r="AW86" i="9"/>
  <c r="AV86" i="9"/>
  <c r="AU86" i="9"/>
  <c r="AT86" i="9"/>
  <c r="AS86" i="9"/>
  <c r="AR86" i="9"/>
  <c r="AQ86" i="9"/>
  <c r="AO86" i="9"/>
  <c r="AN86" i="9"/>
  <c r="AM86" i="9"/>
  <c r="AK86" i="9"/>
  <c r="AJ86" i="9"/>
  <c r="AI86" i="9"/>
  <c r="AG86" i="9"/>
  <c r="AF86" i="9"/>
  <c r="AE86" i="9"/>
  <c r="AC86" i="9"/>
  <c r="AB86" i="9"/>
  <c r="AA86" i="9"/>
  <c r="Y86" i="9"/>
  <c r="X86" i="9"/>
  <c r="W86" i="9"/>
  <c r="V86" i="9"/>
  <c r="U86" i="9"/>
  <c r="S86" i="9"/>
  <c r="AI85" i="9"/>
  <c r="W85" i="9"/>
  <c r="V84" i="9"/>
  <c r="AB57" i="9"/>
  <c r="AA57" i="9"/>
  <c r="AA100" i="9" s="1"/>
  <c r="X57" i="9"/>
  <c r="W57" i="9"/>
  <c r="W100" i="9" s="1"/>
  <c r="U57" i="9"/>
  <c r="U100" i="9" s="1"/>
  <c r="M57" i="9"/>
  <c r="F57" i="9"/>
  <c r="E57" i="9"/>
  <c r="AA56" i="9"/>
  <c r="F55" i="9"/>
  <c r="E55" i="9"/>
  <c r="AM54" i="9"/>
  <c r="AB54" i="9"/>
  <c r="AA54" i="9"/>
  <c r="F54" i="9"/>
  <c r="E54" i="9"/>
  <c r="AM52" i="9"/>
  <c r="AE52" i="9"/>
  <c r="AA52" i="9"/>
  <c r="U52" i="9"/>
  <c r="M52" i="9"/>
  <c r="AR51" i="9"/>
  <c r="AR46" i="9" s="1"/>
  <c r="AQ51" i="9"/>
  <c r="AF51" i="9"/>
  <c r="AE51" i="9"/>
  <c r="AB51" i="9"/>
  <c r="AA51" i="9"/>
  <c r="R51" i="9"/>
  <c r="Q48" i="9" s="1"/>
  <c r="Q51" i="9"/>
  <c r="J51" i="9"/>
  <c r="I51" i="9"/>
  <c r="AI49" i="9"/>
  <c r="AI52" i="9" s="1"/>
  <c r="Q49" i="9"/>
  <c r="Q52" i="9" s="1"/>
  <c r="I49" i="9"/>
  <c r="I52" i="9" s="1"/>
  <c r="E49" i="9"/>
  <c r="E52" i="9" s="1"/>
  <c r="D49" i="9"/>
  <c r="I48" i="9"/>
  <c r="I50" i="9" s="1"/>
  <c r="AQ46" i="9"/>
  <c r="AI46" i="9"/>
  <c r="AF46" i="9"/>
  <c r="AE46" i="9"/>
  <c r="AB46" i="9"/>
  <c r="AA46" i="9"/>
  <c r="F46" i="9"/>
  <c r="E48" i="9" s="1"/>
  <c r="E46" i="9"/>
  <c r="D46" i="9"/>
  <c r="D51" i="9" s="1"/>
  <c r="AR42" i="9"/>
  <c r="AR104" i="9" s="1"/>
  <c r="AQ42" i="9"/>
  <c r="AQ104" i="9" s="1"/>
  <c r="AI42" i="9"/>
  <c r="AI104" i="9" s="1"/>
  <c r="AF42" i="9"/>
  <c r="AF104" i="9" s="1"/>
  <c r="AE42" i="9"/>
  <c r="AB42" i="9"/>
  <c r="AA42" i="9"/>
  <c r="R42" i="9"/>
  <c r="R104" i="9" s="1"/>
  <c r="Q42" i="9"/>
  <c r="F42" i="9"/>
  <c r="E42" i="9"/>
  <c r="AR37" i="9"/>
  <c r="AR96" i="9" s="1"/>
  <c r="AN37" i="9"/>
  <c r="AM37" i="9"/>
  <c r="AM96" i="9" s="1"/>
  <c r="AI37" i="9"/>
  <c r="AI35" i="9" s="1"/>
  <c r="AF37" i="9"/>
  <c r="X37" i="9"/>
  <c r="W37" i="9"/>
  <c r="W96" i="9" s="1"/>
  <c r="U37" i="9"/>
  <c r="U94" i="9" s="1"/>
  <c r="R37" i="9"/>
  <c r="R96" i="9" s="1"/>
  <c r="AQ36" i="9"/>
  <c r="AB36" i="9"/>
  <c r="AA36" i="9"/>
  <c r="U36" i="9"/>
  <c r="E36" i="9"/>
  <c r="AN35" i="9"/>
  <c r="X35" i="9"/>
  <c r="W35" i="9"/>
  <c r="R34" i="9"/>
  <c r="Q34" i="9"/>
  <c r="I34" i="9"/>
  <c r="AR33" i="9"/>
  <c r="AQ33" i="9"/>
  <c r="J33" i="9"/>
  <c r="I33" i="9"/>
  <c r="AQ30" i="9"/>
  <c r="AQ37" i="9" s="1"/>
  <c r="AE30" i="9"/>
  <c r="AE37" i="9" s="1"/>
  <c r="AE35" i="9" s="1"/>
  <c r="AB30" i="9"/>
  <c r="AB120" i="9" s="1"/>
  <c r="AA30" i="9"/>
  <c r="AA37" i="9" s="1"/>
  <c r="U30" i="9"/>
  <c r="Q30" i="9"/>
  <c r="N30" i="9"/>
  <c r="M30" i="9"/>
  <c r="J30" i="9"/>
  <c r="I30" i="9"/>
  <c r="F30" i="9"/>
  <c r="F120" i="9" s="1"/>
  <c r="E30" i="9"/>
  <c r="AR29" i="9"/>
  <c r="AN29" i="9"/>
  <c r="AM29" i="9"/>
  <c r="AI29" i="9"/>
  <c r="AF29" i="9"/>
  <c r="AE29" i="9"/>
  <c r="AB29" i="9"/>
  <c r="X29" i="9"/>
  <c r="W29" i="9"/>
  <c r="U29" i="9"/>
  <c r="R28" i="9"/>
  <c r="Q28" i="9"/>
  <c r="N28" i="9"/>
  <c r="M28" i="9"/>
  <c r="J28" i="9"/>
  <c r="I28" i="9"/>
  <c r="F28" i="9"/>
  <c r="E28" i="9"/>
  <c r="AB23" i="9"/>
  <c r="AB117" i="9" s="1"/>
  <c r="AA23" i="9"/>
  <c r="AA117" i="9" s="1"/>
  <c r="AR19" i="9"/>
  <c r="AQ19" i="9"/>
  <c r="AI19" i="9"/>
  <c r="AI18" i="9" s="1"/>
  <c r="AF19" i="9"/>
  <c r="AF18" i="9" s="1"/>
  <c r="AB19" i="9"/>
  <c r="AA19" i="9"/>
  <c r="AA18" i="9" s="1"/>
  <c r="X19" i="9"/>
  <c r="X18" i="9" s="1"/>
  <c r="W19" i="9"/>
  <c r="U19" i="9"/>
  <c r="R19" i="9"/>
  <c r="R18" i="9" s="1"/>
  <c r="Q19" i="9"/>
  <c r="Q18" i="9" s="1"/>
  <c r="N19" i="9"/>
  <c r="M19" i="9"/>
  <c r="J19" i="9"/>
  <c r="J18" i="9" s="1"/>
  <c r="I19" i="9"/>
  <c r="I18" i="9" s="1"/>
  <c r="AB18" i="9"/>
  <c r="W18" i="9"/>
  <c r="U18" i="9"/>
  <c r="U91" i="9" s="1"/>
  <c r="N18" i="9"/>
  <c r="M18" i="9"/>
  <c r="F18" i="9"/>
  <c r="E18" i="9"/>
  <c r="AR16" i="9"/>
  <c r="AQ16" i="9"/>
  <c r="AR14" i="9"/>
  <c r="AQ14" i="9"/>
  <c r="AN14" i="9"/>
  <c r="AM14" i="9"/>
  <c r="AM113" i="9" s="1"/>
  <c r="AI14" i="9"/>
  <c r="AB14" i="9"/>
  <c r="AB13" i="9" s="1"/>
  <c r="AA14" i="9"/>
  <c r="AA113" i="9" s="1"/>
  <c r="W14" i="9"/>
  <c r="N14" i="9"/>
  <c r="M14" i="9"/>
  <c r="J14" i="9"/>
  <c r="I14" i="9"/>
  <c r="I13" i="9" s="1"/>
  <c r="AN13" i="9"/>
  <c r="AM13" i="9"/>
  <c r="AF13" i="9"/>
  <c r="AE13" i="9"/>
  <c r="X13" i="9"/>
  <c r="W13" i="9"/>
  <c r="R13" i="9"/>
  <c r="Q13" i="9"/>
  <c r="J13" i="9"/>
  <c r="F13" i="9"/>
  <c r="F14" i="9" s="1"/>
  <c r="E13" i="9"/>
  <c r="E14" i="9" s="1"/>
  <c r="N12" i="9"/>
  <c r="N13" i="9" s="1"/>
  <c r="M12" i="9"/>
  <c r="AR9" i="9"/>
  <c r="AR112" i="9" s="1"/>
  <c r="AQ9" i="9"/>
  <c r="AQ112" i="9" s="1"/>
  <c r="AI9" i="9"/>
  <c r="AA9" i="9"/>
  <c r="X9" i="9"/>
  <c r="X88" i="9" s="1"/>
  <c r="W9" i="9"/>
  <c r="U9" i="9"/>
  <c r="R9" i="9"/>
  <c r="R88" i="9" s="1"/>
  <c r="Q9" i="9"/>
  <c r="N9" i="9"/>
  <c r="M9" i="9"/>
  <c r="J9" i="9"/>
  <c r="I9" i="9"/>
  <c r="AN8" i="9"/>
  <c r="AN87" i="9" s="1"/>
  <c r="AM8" i="9"/>
  <c r="AF8" i="9"/>
  <c r="AE8" i="9"/>
  <c r="AB8" i="9"/>
  <c r="AA8" i="9"/>
  <c r="AA87" i="9" s="1"/>
  <c r="F7" i="9"/>
  <c r="E7" i="9"/>
  <c r="E9" i="9" s="1"/>
  <c r="DO5" i="9"/>
  <c r="DN5" i="9"/>
  <c r="DM5" i="9"/>
  <c r="DL5" i="9"/>
  <c r="DK5" i="9"/>
  <c r="DJ5" i="9"/>
  <c r="DI5" i="9"/>
  <c r="DH5" i="9"/>
  <c r="DG5" i="9"/>
  <c r="DF5" i="9"/>
  <c r="DE5" i="9"/>
  <c r="DD5" i="9"/>
  <c r="DC5" i="9"/>
  <c r="DB5" i="9"/>
  <c r="DA5" i="9"/>
  <c r="CZ5" i="9"/>
  <c r="CY5" i="9"/>
  <c r="CX5" i="9"/>
  <c r="CW5" i="9"/>
  <c r="CV5" i="9"/>
  <c r="CU5" i="9"/>
  <c r="CT5" i="9"/>
  <c r="CS5" i="9"/>
  <c r="CR5" i="9"/>
  <c r="CQ5" i="9"/>
  <c r="CP5" i="9"/>
  <c r="CO5" i="9"/>
  <c r="CN5" i="9"/>
  <c r="CM5" i="9"/>
  <c r="CL5" i="9"/>
  <c r="CK5" i="9"/>
  <c r="CJ5" i="9"/>
  <c r="CI5" i="9"/>
  <c r="CH5" i="9"/>
  <c r="CG5" i="9"/>
  <c r="CF5" i="9"/>
  <c r="CE5" i="9"/>
  <c r="CD5" i="9"/>
  <c r="CC5" i="9"/>
  <c r="CB5" i="9"/>
  <c r="CA5" i="9"/>
  <c r="BZ5" i="9"/>
  <c r="BY5" i="9"/>
  <c r="BX5" i="9"/>
  <c r="BW5" i="9"/>
  <c r="BV5" i="9"/>
  <c r="BU5" i="9"/>
  <c r="BT5" i="9"/>
  <c r="BS5" i="9"/>
  <c r="BR5" i="9"/>
  <c r="BQ5" i="9"/>
  <c r="BP5" i="9"/>
  <c r="BO5" i="9"/>
  <c r="BN5" i="9"/>
  <c r="BM5" i="9"/>
  <c r="BL5" i="9"/>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HX130" i="8"/>
  <c r="HW130" i="8"/>
  <c r="HV130" i="8"/>
  <c r="HU130" i="8"/>
  <c r="HT130" i="8"/>
  <c r="HS130" i="8"/>
  <c r="HR130" i="8"/>
  <c r="HQ130" i="8"/>
  <c r="HP130" i="8"/>
  <c r="HO130" i="8"/>
  <c r="HN130" i="8"/>
  <c r="HM130" i="8"/>
  <c r="HL130" i="8"/>
  <c r="HK130" i="8"/>
  <c r="HJ130" i="8"/>
  <c r="HI130" i="8"/>
  <c r="HH130" i="8"/>
  <c r="HG130" i="8"/>
  <c r="HF130" i="8"/>
  <c r="HE130" i="8"/>
  <c r="HD130" i="8"/>
  <c r="HC130" i="8"/>
  <c r="HB130" i="8"/>
  <c r="HA130" i="8"/>
  <c r="GZ130" i="8"/>
  <c r="GY130" i="8"/>
  <c r="GX130" i="8"/>
  <c r="GW130" i="8"/>
  <c r="GV130" i="8"/>
  <c r="GU130" i="8"/>
  <c r="GT130" i="8"/>
  <c r="GS130" i="8"/>
  <c r="GR130" i="8"/>
  <c r="GQ130" i="8"/>
  <c r="GP130" i="8"/>
  <c r="GO130" i="8"/>
  <c r="GN130" i="8"/>
  <c r="GM130" i="8"/>
  <c r="GL130" i="8"/>
  <c r="GK130" i="8"/>
  <c r="GJ130" i="8"/>
  <c r="GI130" i="8"/>
  <c r="GH130" i="8"/>
  <c r="GG130" i="8"/>
  <c r="GF130" i="8"/>
  <c r="GE130" i="8"/>
  <c r="GD130" i="8"/>
  <c r="GC130" i="8"/>
  <c r="GB130" i="8"/>
  <c r="GA130" i="8"/>
  <c r="FZ130" i="8"/>
  <c r="FY130" i="8"/>
  <c r="FX130" i="8"/>
  <c r="FW130" i="8"/>
  <c r="FV130" i="8"/>
  <c r="DR130" i="8"/>
  <c r="DQ130" i="8"/>
  <c r="DO130" i="8"/>
  <c r="DN130" i="8"/>
  <c r="DM130" i="8"/>
  <c r="DL130" i="8"/>
  <c r="DK130" i="8"/>
  <c r="DJ130" i="8"/>
  <c r="DH130" i="8"/>
  <c r="DC130" i="8"/>
  <c r="DB130" i="8"/>
  <c r="CZ130" i="8"/>
  <c r="CY130" i="8"/>
  <c r="CX130" i="8"/>
  <c r="CV130" i="8"/>
  <c r="CM130" i="8"/>
  <c r="CL130" i="8"/>
  <c r="CJ130" i="8"/>
  <c r="CI130" i="8"/>
  <c r="CH130" i="8"/>
  <c r="CF130" i="8"/>
  <c r="CA130" i="8"/>
  <c r="BZ130" i="8"/>
  <c r="BX130" i="8"/>
  <c r="BV130" i="8"/>
  <c r="BK130" i="8"/>
  <c r="BJ130" i="8"/>
  <c r="BH130" i="8"/>
  <c r="BG130" i="8"/>
  <c r="BF130" i="8"/>
  <c r="BD130" i="8"/>
  <c r="BC130" i="8"/>
  <c r="BB130" i="8"/>
  <c r="AZ130" i="8"/>
  <c r="AY130" i="8"/>
  <c r="AX130" i="8"/>
  <c r="AV130" i="8"/>
  <c r="AQ130" i="8"/>
  <c r="AP130" i="8"/>
  <c r="AN130" i="8"/>
  <c r="AM130" i="8"/>
  <c r="AL130" i="8"/>
  <c r="AJ130" i="8"/>
  <c r="J130" i="8"/>
  <c r="I130" i="8"/>
  <c r="G130" i="8"/>
  <c r="F130" i="8"/>
  <c r="DU129" i="8"/>
  <c r="DQ129" i="8"/>
  <c r="DM129" i="8"/>
  <c r="DL129" i="8"/>
  <c r="DK129" i="8"/>
  <c r="DJ129" i="8"/>
  <c r="DF129" i="8"/>
  <c r="DB129" i="8"/>
  <c r="CX129" i="8"/>
  <c r="CT129" i="8"/>
  <c r="CP129" i="8"/>
  <c r="CL129" i="8"/>
  <c r="CD129" i="8"/>
  <c r="BZ129" i="8"/>
  <c r="BV129" i="8"/>
  <c r="BR129" i="8"/>
  <c r="BN129" i="8"/>
  <c r="BJ129" i="8"/>
  <c r="BF129" i="8"/>
  <c r="BB129" i="8"/>
  <c r="AX129" i="8"/>
  <c r="AT129" i="8"/>
  <c r="AP129" i="8"/>
  <c r="AL129" i="8"/>
  <c r="AH129" i="8"/>
  <c r="AD129" i="8"/>
  <c r="Z129" i="8"/>
  <c r="V129" i="8"/>
  <c r="R129" i="8"/>
  <c r="Q129" i="8"/>
  <c r="M129" i="8"/>
  <c r="I129" i="8"/>
  <c r="E129" i="8"/>
  <c r="HX128" i="8"/>
  <c r="HW128" i="8"/>
  <c r="HV128" i="8"/>
  <c r="HU128" i="8"/>
  <c r="HT128" i="8"/>
  <c r="HS128" i="8"/>
  <c r="HR128" i="8"/>
  <c r="HQ128" i="8"/>
  <c r="HP128" i="8"/>
  <c r="HO128" i="8"/>
  <c r="HN128" i="8"/>
  <c r="HM128" i="8"/>
  <c r="HL128" i="8"/>
  <c r="HK128" i="8"/>
  <c r="HJ128" i="8"/>
  <c r="HI128" i="8"/>
  <c r="HH128" i="8"/>
  <c r="HG128" i="8"/>
  <c r="HF128" i="8"/>
  <c r="HE128" i="8"/>
  <c r="HD128" i="8"/>
  <c r="HC128" i="8"/>
  <c r="HB128" i="8"/>
  <c r="HA128" i="8"/>
  <c r="GZ128" i="8"/>
  <c r="GY128" i="8"/>
  <c r="GX128" i="8"/>
  <c r="GW128" i="8"/>
  <c r="GV128" i="8"/>
  <c r="GU128" i="8"/>
  <c r="GT128" i="8"/>
  <c r="GS128" i="8"/>
  <c r="GR128" i="8"/>
  <c r="GQ128" i="8"/>
  <c r="GP128" i="8"/>
  <c r="GO128" i="8"/>
  <c r="GN128" i="8"/>
  <c r="GM128" i="8"/>
  <c r="GL128" i="8"/>
  <c r="GK128" i="8"/>
  <c r="GJ128" i="8"/>
  <c r="GI128" i="8"/>
  <c r="GH128" i="8"/>
  <c r="GG128" i="8"/>
  <c r="GF128" i="8"/>
  <c r="GE128" i="8"/>
  <c r="GD128" i="8"/>
  <c r="GC128" i="8"/>
  <c r="GB128" i="8"/>
  <c r="GA128" i="8"/>
  <c r="FZ128" i="8"/>
  <c r="FY128" i="8"/>
  <c r="FX128" i="8"/>
  <c r="FW128" i="8"/>
  <c r="FV128" i="8"/>
  <c r="DS128" i="8"/>
  <c r="DR128" i="8"/>
  <c r="DQ128" i="8"/>
  <c r="DO128" i="8"/>
  <c r="DN128" i="8"/>
  <c r="DM128" i="8"/>
  <c r="DL128" i="8"/>
  <c r="DK128" i="8"/>
  <c r="DJ128" i="8"/>
  <c r="DH128" i="8"/>
  <c r="DD128" i="8"/>
  <c r="DC128" i="8"/>
  <c r="DB128" i="8"/>
  <c r="CZ128" i="8"/>
  <c r="CY128" i="8"/>
  <c r="CX128" i="8"/>
  <c r="CV128" i="8"/>
  <c r="CR128" i="8"/>
  <c r="CN128" i="8"/>
  <c r="CM128" i="8"/>
  <c r="CL128" i="8"/>
  <c r="CJ128" i="8"/>
  <c r="CI128" i="8"/>
  <c r="CH128" i="8"/>
  <c r="CF128" i="8"/>
  <c r="CB128" i="8"/>
  <c r="CA128" i="8"/>
  <c r="BZ128" i="8"/>
  <c r="BX128" i="8"/>
  <c r="BV128" i="8"/>
  <c r="BP128" i="8"/>
  <c r="BL128" i="8"/>
  <c r="BK128" i="8"/>
  <c r="BJ128" i="8"/>
  <c r="BH128" i="8"/>
  <c r="BG128" i="8"/>
  <c r="BF128" i="8"/>
  <c r="BD128" i="8"/>
  <c r="BC128" i="8"/>
  <c r="BB128" i="8"/>
  <c r="AZ128" i="8"/>
  <c r="AY128" i="8"/>
  <c r="AX128" i="8"/>
  <c r="AV128" i="8"/>
  <c r="AR128" i="8"/>
  <c r="AQ128" i="8"/>
  <c r="AP128" i="8"/>
  <c r="AN128" i="8"/>
  <c r="AM128" i="8"/>
  <c r="AL128" i="8"/>
  <c r="AJ128" i="8"/>
  <c r="AF128" i="8"/>
  <c r="AB128" i="8"/>
  <c r="X128" i="8"/>
  <c r="T128" i="8"/>
  <c r="O128" i="8"/>
  <c r="K128" i="8"/>
  <c r="J128" i="8"/>
  <c r="I128" i="8"/>
  <c r="G128" i="8"/>
  <c r="F128" i="8"/>
  <c r="HX127" i="8"/>
  <c r="HW127" i="8"/>
  <c r="HV127" i="8"/>
  <c r="HU127" i="8"/>
  <c r="HT127" i="8"/>
  <c r="HS127" i="8"/>
  <c r="HR127" i="8"/>
  <c r="HQ127" i="8"/>
  <c r="HP127" i="8"/>
  <c r="HO127" i="8"/>
  <c r="HN127" i="8"/>
  <c r="HM127" i="8"/>
  <c r="HL127" i="8"/>
  <c r="HK127" i="8"/>
  <c r="HJ127" i="8"/>
  <c r="HI127" i="8"/>
  <c r="HH127" i="8"/>
  <c r="HG127" i="8"/>
  <c r="HF127" i="8"/>
  <c r="HE127" i="8"/>
  <c r="HD127" i="8"/>
  <c r="HC127" i="8"/>
  <c r="HB127" i="8"/>
  <c r="HA127" i="8"/>
  <c r="GZ127" i="8"/>
  <c r="GY127" i="8"/>
  <c r="GX127" i="8"/>
  <c r="GW127" i="8"/>
  <c r="GV127" i="8"/>
  <c r="GU127" i="8"/>
  <c r="GT127" i="8"/>
  <c r="GS127" i="8"/>
  <c r="GR127" i="8"/>
  <c r="GQ127" i="8"/>
  <c r="GP127" i="8"/>
  <c r="GO127" i="8"/>
  <c r="GN127" i="8"/>
  <c r="GM127" i="8"/>
  <c r="GL127" i="8"/>
  <c r="GK127" i="8"/>
  <c r="GJ127" i="8"/>
  <c r="GI127" i="8"/>
  <c r="GH127" i="8"/>
  <c r="GG127" i="8"/>
  <c r="GF127" i="8"/>
  <c r="GE127" i="8"/>
  <c r="GD127" i="8"/>
  <c r="GC127" i="8"/>
  <c r="GB127" i="8"/>
  <c r="GA127" i="8"/>
  <c r="FZ127" i="8"/>
  <c r="FY127" i="8"/>
  <c r="FX127" i="8"/>
  <c r="FW127" i="8"/>
  <c r="FV127" i="8"/>
  <c r="DV127" i="8"/>
  <c r="DU127" i="8"/>
  <c r="DS127" i="8"/>
  <c r="DR127" i="8"/>
  <c r="DQ127" i="8"/>
  <c r="DO127" i="8"/>
  <c r="DN127" i="8"/>
  <c r="DM127" i="8"/>
  <c r="DL127" i="8"/>
  <c r="DK127" i="8"/>
  <c r="DJ127" i="8"/>
  <c r="DH127" i="8"/>
  <c r="DG127" i="8"/>
  <c r="DF127" i="8"/>
  <c r="DD127" i="8"/>
  <c r="DC127" i="8"/>
  <c r="DB127" i="8"/>
  <c r="CZ127" i="8"/>
  <c r="CY127" i="8"/>
  <c r="CX127" i="8"/>
  <c r="CV127" i="8"/>
  <c r="CU127" i="8"/>
  <c r="CT127" i="8"/>
  <c r="CR127" i="8"/>
  <c r="CQ127" i="8"/>
  <c r="CP127" i="8"/>
  <c r="CN127" i="8"/>
  <c r="CM127" i="8"/>
  <c r="CL127" i="8"/>
  <c r="CJ127" i="8"/>
  <c r="CI127" i="8"/>
  <c r="CH127" i="8"/>
  <c r="CF127" i="8"/>
  <c r="CE127" i="8"/>
  <c r="CD127" i="8"/>
  <c r="CB127" i="8"/>
  <c r="CA127" i="8"/>
  <c r="BZ127" i="8"/>
  <c r="BX127" i="8"/>
  <c r="BV127" i="8"/>
  <c r="BS127" i="8"/>
  <c r="BR127" i="8"/>
  <c r="BP127" i="8"/>
  <c r="BO127" i="8"/>
  <c r="BN127" i="8"/>
  <c r="BL127" i="8"/>
  <c r="BK127" i="8"/>
  <c r="BJ127" i="8"/>
  <c r="BH127" i="8"/>
  <c r="BG127" i="8"/>
  <c r="BF127" i="8"/>
  <c r="BD127" i="8"/>
  <c r="BC127" i="8"/>
  <c r="BB127" i="8"/>
  <c r="AZ127" i="8"/>
  <c r="AY127" i="8"/>
  <c r="AX127" i="8"/>
  <c r="AV127" i="8"/>
  <c r="AU127" i="8"/>
  <c r="AT127" i="8"/>
  <c r="AR127" i="8"/>
  <c r="AQ127" i="8"/>
  <c r="AP127" i="8"/>
  <c r="AN127" i="8"/>
  <c r="AM127" i="8"/>
  <c r="AL127" i="8"/>
  <c r="AJ127" i="8"/>
  <c r="AI127" i="8"/>
  <c r="AH127" i="8"/>
  <c r="AF127" i="8"/>
  <c r="AE127" i="8"/>
  <c r="AD127" i="8"/>
  <c r="AB127" i="8"/>
  <c r="AA127" i="8"/>
  <c r="Z127" i="8"/>
  <c r="X127" i="8"/>
  <c r="W127" i="8"/>
  <c r="V127" i="8"/>
  <c r="T127" i="8"/>
  <c r="S127" i="8"/>
  <c r="R127" i="8"/>
  <c r="Q127" i="8"/>
  <c r="O127" i="8"/>
  <c r="N127" i="8"/>
  <c r="M127" i="8"/>
  <c r="K127" i="8"/>
  <c r="J127" i="8"/>
  <c r="I127" i="8"/>
  <c r="G127" i="8"/>
  <c r="F127" i="8"/>
  <c r="E127" i="8"/>
  <c r="HX126" i="8"/>
  <c r="HW126" i="8"/>
  <c r="HV126" i="8"/>
  <c r="HU126" i="8"/>
  <c r="HT126" i="8"/>
  <c r="HS126" i="8"/>
  <c r="HR126" i="8"/>
  <c r="HQ126" i="8"/>
  <c r="HP126" i="8"/>
  <c r="HO126" i="8"/>
  <c r="HN126" i="8"/>
  <c r="HM126" i="8"/>
  <c r="HL126" i="8"/>
  <c r="HK126" i="8"/>
  <c r="HJ126" i="8"/>
  <c r="HI126" i="8"/>
  <c r="HH126" i="8"/>
  <c r="HG126" i="8"/>
  <c r="HF126" i="8"/>
  <c r="HE126" i="8"/>
  <c r="HD126" i="8"/>
  <c r="HC126" i="8"/>
  <c r="HB126" i="8"/>
  <c r="HA126" i="8"/>
  <c r="GZ126" i="8"/>
  <c r="GY126" i="8"/>
  <c r="GX126" i="8"/>
  <c r="GW126" i="8"/>
  <c r="GV126" i="8"/>
  <c r="GU126" i="8"/>
  <c r="GT126" i="8"/>
  <c r="GS126" i="8"/>
  <c r="GR126" i="8"/>
  <c r="GQ126" i="8"/>
  <c r="GP126" i="8"/>
  <c r="GO126" i="8"/>
  <c r="GN126" i="8"/>
  <c r="GM126" i="8"/>
  <c r="GL126" i="8"/>
  <c r="GK126" i="8"/>
  <c r="GJ126" i="8"/>
  <c r="GI126" i="8"/>
  <c r="GH126" i="8"/>
  <c r="GG126" i="8"/>
  <c r="GF126" i="8"/>
  <c r="GE126" i="8"/>
  <c r="GD126" i="8"/>
  <c r="GC126" i="8"/>
  <c r="GB126" i="8"/>
  <c r="GA126" i="8"/>
  <c r="FZ126" i="8"/>
  <c r="FY126" i="8"/>
  <c r="FX126" i="8"/>
  <c r="FW126" i="8"/>
  <c r="FV126" i="8"/>
  <c r="DV126" i="8"/>
  <c r="DS126" i="8"/>
  <c r="DR126" i="8"/>
  <c r="DQ126" i="8"/>
  <c r="DO126" i="8"/>
  <c r="DL126" i="8"/>
  <c r="DH126" i="8"/>
  <c r="DG126" i="8"/>
  <c r="DF126" i="8"/>
  <c r="DD126" i="8"/>
  <c r="DC126" i="8"/>
  <c r="DB126" i="8"/>
  <c r="CZ126" i="8"/>
  <c r="CV126" i="8"/>
  <c r="CR126" i="8"/>
  <c r="CQ126" i="8"/>
  <c r="CN126" i="8"/>
  <c r="CM126" i="8"/>
  <c r="CL126" i="8"/>
  <c r="CJ126" i="8"/>
  <c r="CI126" i="8"/>
  <c r="CH126" i="8"/>
  <c r="CF126" i="8"/>
  <c r="CE126" i="8"/>
  <c r="CB126" i="8"/>
  <c r="BX126" i="8"/>
  <c r="BV126" i="8"/>
  <c r="BS126" i="8"/>
  <c r="BR126" i="8"/>
  <c r="BP126" i="8"/>
  <c r="BL126" i="8"/>
  <c r="BK126" i="8"/>
  <c r="BH126" i="8"/>
  <c r="BG126" i="8"/>
  <c r="BF126" i="8"/>
  <c r="BD126" i="8"/>
  <c r="BC126" i="8"/>
  <c r="BB126" i="8"/>
  <c r="AZ126" i="8"/>
  <c r="AV126" i="8"/>
  <c r="AR126" i="8"/>
  <c r="AN126" i="8"/>
  <c r="AM126" i="8"/>
  <c r="AJ126" i="8"/>
  <c r="AF126" i="8"/>
  <c r="AB126" i="8"/>
  <c r="AA126" i="8"/>
  <c r="Z126" i="8"/>
  <c r="X126" i="8"/>
  <c r="T126" i="8"/>
  <c r="S126" i="8"/>
  <c r="R126" i="8"/>
  <c r="O126" i="8"/>
  <c r="K126" i="8"/>
  <c r="J126" i="8"/>
  <c r="I126" i="8"/>
  <c r="G126" i="8"/>
  <c r="F126" i="8"/>
  <c r="HX125" i="8"/>
  <c r="HW125" i="8"/>
  <c r="HV125" i="8"/>
  <c r="HU125" i="8"/>
  <c r="HT125" i="8"/>
  <c r="HS125" i="8"/>
  <c r="HR125" i="8"/>
  <c r="HQ125" i="8"/>
  <c r="HP125" i="8"/>
  <c r="HO125" i="8"/>
  <c r="HN125" i="8"/>
  <c r="HM125" i="8"/>
  <c r="HL125" i="8"/>
  <c r="HK125" i="8"/>
  <c r="HJ125" i="8"/>
  <c r="HI125" i="8"/>
  <c r="HH125" i="8"/>
  <c r="HG125" i="8"/>
  <c r="HF125" i="8"/>
  <c r="HE125" i="8"/>
  <c r="HD125" i="8"/>
  <c r="HC125" i="8"/>
  <c r="HB125" i="8"/>
  <c r="HA125" i="8"/>
  <c r="GZ125" i="8"/>
  <c r="GY125" i="8"/>
  <c r="GX125" i="8"/>
  <c r="GW125" i="8"/>
  <c r="GV125" i="8"/>
  <c r="GU125" i="8"/>
  <c r="GT125" i="8"/>
  <c r="GS125" i="8"/>
  <c r="GR125" i="8"/>
  <c r="GQ125" i="8"/>
  <c r="GP125" i="8"/>
  <c r="GO125" i="8"/>
  <c r="GN125" i="8"/>
  <c r="GM125" i="8"/>
  <c r="GL125" i="8"/>
  <c r="GK125" i="8"/>
  <c r="GJ125" i="8"/>
  <c r="GI125" i="8"/>
  <c r="GH125" i="8"/>
  <c r="GG125" i="8"/>
  <c r="GF125" i="8"/>
  <c r="GE125" i="8"/>
  <c r="GD125" i="8"/>
  <c r="GC125" i="8"/>
  <c r="GB125" i="8"/>
  <c r="GA125" i="8"/>
  <c r="FZ125" i="8"/>
  <c r="FY125" i="8"/>
  <c r="FX125" i="8"/>
  <c r="FW125" i="8"/>
  <c r="FV125" i="8"/>
  <c r="DV125" i="8"/>
  <c r="DR125" i="8"/>
  <c r="DQ125" i="8"/>
  <c r="DO125" i="8"/>
  <c r="DG125" i="8"/>
  <c r="DF125" i="8"/>
  <c r="DD125" i="8"/>
  <c r="DC125" i="8"/>
  <c r="DB125" i="8"/>
  <c r="CZ125" i="8"/>
  <c r="CQ125" i="8"/>
  <c r="CM125" i="8"/>
  <c r="CL125" i="8"/>
  <c r="CL87" i="8" s="1"/>
  <c r="CJ125" i="8"/>
  <c r="CI125" i="8"/>
  <c r="CI87" i="8" s="1"/>
  <c r="CH125" i="8"/>
  <c r="CF125" i="8"/>
  <c r="CF87" i="8" s="1"/>
  <c r="CE125" i="8"/>
  <c r="BV125" i="8"/>
  <c r="BS125" i="8"/>
  <c r="BR125" i="8"/>
  <c r="BP125" i="8"/>
  <c r="BK125" i="8"/>
  <c r="BG125" i="8"/>
  <c r="BF125" i="8"/>
  <c r="BD125" i="8"/>
  <c r="BC125" i="8"/>
  <c r="BB125" i="8"/>
  <c r="AZ125" i="8"/>
  <c r="AM125" i="8"/>
  <c r="AA125" i="8"/>
  <c r="Z125" i="8"/>
  <c r="X125" i="8"/>
  <c r="S125" i="8"/>
  <c r="R125" i="8"/>
  <c r="J125" i="8"/>
  <c r="I125" i="8"/>
  <c r="G125" i="8"/>
  <c r="F125" i="8"/>
  <c r="HX124" i="8"/>
  <c r="HW124" i="8"/>
  <c r="HV124" i="8"/>
  <c r="HU124" i="8"/>
  <c r="HT124" i="8"/>
  <c r="HS124" i="8"/>
  <c r="HR124" i="8"/>
  <c r="HQ124" i="8"/>
  <c r="HP124" i="8"/>
  <c r="HO124" i="8"/>
  <c r="HN124" i="8"/>
  <c r="HM124" i="8"/>
  <c r="HL124" i="8"/>
  <c r="HK124" i="8"/>
  <c r="HJ124" i="8"/>
  <c r="HI124" i="8"/>
  <c r="HH124" i="8"/>
  <c r="HG124" i="8"/>
  <c r="HF124" i="8"/>
  <c r="HE124" i="8"/>
  <c r="HD124" i="8"/>
  <c r="HC124" i="8"/>
  <c r="HB124" i="8"/>
  <c r="HA124" i="8"/>
  <c r="GZ124" i="8"/>
  <c r="GY124" i="8"/>
  <c r="GX124" i="8"/>
  <c r="GW124" i="8"/>
  <c r="GV124" i="8"/>
  <c r="GU124" i="8"/>
  <c r="GT124" i="8"/>
  <c r="GS124" i="8"/>
  <c r="GR124" i="8"/>
  <c r="GQ124" i="8"/>
  <c r="GP124" i="8"/>
  <c r="GO124" i="8"/>
  <c r="GN124" i="8"/>
  <c r="GM124" i="8"/>
  <c r="GL124" i="8"/>
  <c r="GK124" i="8"/>
  <c r="GJ124" i="8"/>
  <c r="GI124" i="8"/>
  <c r="GH124" i="8"/>
  <c r="GG124" i="8"/>
  <c r="GF124" i="8"/>
  <c r="GE124" i="8"/>
  <c r="GD124" i="8"/>
  <c r="GC124" i="8"/>
  <c r="GB124" i="8"/>
  <c r="GA124" i="8"/>
  <c r="FZ124" i="8"/>
  <c r="FY124" i="8"/>
  <c r="FX124" i="8"/>
  <c r="FW124" i="8"/>
  <c r="FV124" i="8"/>
  <c r="DV124" i="8"/>
  <c r="DU124" i="8"/>
  <c r="DS124" i="8"/>
  <c r="DR124" i="8"/>
  <c r="DQ124" i="8"/>
  <c r="DO124" i="8"/>
  <c r="DN124" i="8"/>
  <c r="DM124" i="8"/>
  <c r="DL124" i="8"/>
  <c r="DK124" i="8"/>
  <c r="DJ124" i="8"/>
  <c r="DH124" i="8"/>
  <c r="DG124" i="8"/>
  <c r="DF124" i="8"/>
  <c r="DD124" i="8"/>
  <c r="DC124" i="8"/>
  <c r="DB124" i="8"/>
  <c r="CZ124" i="8"/>
  <c r="CY124" i="8"/>
  <c r="CX124" i="8"/>
  <c r="CV124" i="8"/>
  <c r="CU124" i="8"/>
  <c r="CT124" i="8"/>
  <c r="CR124" i="8"/>
  <c r="CQ124" i="8"/>
  <c r="CN124" i="8"/>
  <c r="CM124" i="8"/>
  <c r="CL124" i="8"/>
  <c r="CJ124" i="8"/>
  <c r="CI124" i="8"/>
  <c r="CH124" i="8"/>
  <c r="CF124" i="8"/>
  <c r="CE124" i="8"/>
  <c r="CB124" i="8"/>
  <c r="CA124" i="8"/>
  <c r="BX124" i="8"/>
  <c r="BS124" i="8"/>
  <c r="BR124" i="8"/>
  <c r="BP124" i="8"/>
  <c r="BO124" i="8"/>
  <c r="BN124" i="8"/>
  <c r="BL124" i="8"/>
  <c r="BK124" i="8"/>
  <c r="BJ124" i="8"/>
  <c r="BH124" i="8"/>
  <c r="BG124" i="8"/>
  <c r="BF124" i="8"/>
  <c r="BD124" i="8"/>
  <c r="BC124" i="8"/>
  <c r="BB124" i="8"/>
  <c r="AZ124" i="8"/>
  <c r="AY124" i="8"/>
  <c r="AX124" i="8"/>
  <c r="AV124" i="8"/>
  <c r="AR124" i="8"/>
  <c r="AQ124" i="8"/>
  <c r="AN124" i="8"/>
  <c r="AM124" i="8"/>
  <c r="AJ124" i="8"/>
  <c r="AI124" i="8"/>
  <c r="AH124" i="8"/>
  <c r="AF124" i="8"/>
  <c r="AB124" i="8"/>
  <c r="AA124" i="8"/>
  <c r="X124" i="8"/>
  <c r="W124" i="8"/>
  <c r="V124" i="8"/>
  <c r="T124" i="8"/>
  <c r="S124" i="8"/>
  <c r="R124" i="8"/>
  <c r="Q124" i="8"/>
  <c r="O124" i="8"/>
  <c r="N124" i="8"/>
  <c r="K124" i="8"/>
  <c r="J124" i="8"/>
  <c r="I124" i="8"/>
  <c r="G124" i="8"/>
  <c r="F124" i="8"/>
  <c r="E124" i="8"/>
  <c r="HX123" i="8"/>
  <c r="HW123" i="8"/>
  <c r="HV123" i="8"/>
  <c r="HU123" i="8"/>
  <c r="HT123" i="8"/>
  <c r="HS123" i="8"/>
  <c r="HR123" i="8"/>
  <c r="HQ123" i="8"/>
  <c r="HP123" i="8"/>
  <c r="HO123" i="8"/>
  <c r="HN123" i="8"/>
  <c r="HM123" i="8"/>
  <c r="HL123" i="8"/>
  <c r="HK123" i="8"/>
  <c r="HJ123" i="8"/>
  <c r="HI123" i="8"/>
  <c r="HH123" i="8"/>
  <c r="HG123" i="8"/>
  <c r="HF123" i="8"/>
  <c r="HE123" i="8"/>
  <c r="HD123" i="8"/>
  <c r="HC123" i="8"/>
  <c r="HB123" i="8"/>
  <c r="HA123" i="8"/>
  <c r="GZ123" i="8"/>
  <c r="GY123" i="8"/>
  <c r="GX123" i="8"/>
  <c r="GW123" i="8"/>
  <c r="GV123" i="8"/>
  <c r="GU123" i="8"/>
  <c r="GT123" i="8"/>
  <c r="GS123" i="8"/>
  <c r="GR123" i="8"/>
  <c r="GQ123" i="8"/>
  <c r="GP123" i="8"/>
  <c r="GO123" i="8"/>
  <c r="GN123" i="8"/>
  <c r="GM123" i="8"/>
  <c r="GL123" i="8"/>
  <c r="GK123" i="8"/>
  <c r="GJ123" i="8"/>
  <c r="GI123" i="8"/>
  <c r="GH123" i="8"/>
  <c r="GG123" i="8"/>
  <c r="GF123" i="8"/>
  <c r="GE123" i="8"/>
  <c r="GD123" i="8"/>
  <c r="GC123" i="8"/>
  <c r="GB123" i="8"/>
  <c r="GA123" i="8"/>
  <c r="FZ123" i="8"/>
  <c r="FY123" i="8"/>
  <c r="FX123" i="8"/>
  <c r="FW123" i="8"/>
  <c r="FV123" i="8"/>
  <c r="DV123" i="8"/>
  <c r="DU123" i="8"/>
  <c r="DS123" i="8"/>
  <c r="DR123" i="8"/>
  <c r="DQ123" i="8"/>
  <c r="DO123" i="8"/>
  <c r="DN123" i="8"/>
  <c r="DM123" i="8"/>
  <c r="DL123" i="8"/>
  <c r="DL84" i="8" s="1"/>
  <c r="DK123" i="8"/>
  <c r="DJ123" i="8"/>
  <c r="DH123" i="8"/>
  <c r="DG123" i="8"/>
  <c r="DF123" i="8"/>
  <c r="DD123" i="8"/>
  <c r="DC123" i="8"/>
  <c r="DB123" i="8"/>
  <c r="CZ123" i="8"/>
  <c r="CY123" i="8"/>
  <c r="CX123" i="8"/>
  <c r="CV123" i="8"/>
  <c r="CU123" i="8"/>
  <c r="CT123" i="8"/>
  <c r="CR123" i="8"/>
  <c r="CQ123" i="8"/>
  <c r="CM123" i="8"/>
  <c r="CL123" i="8"/>
  <c r="CJ123" i="8"/>
  <c r="CI123" i="8"/>
  <c r="CH123" i="8"/>
  <c r="CF123" i="8"/>
  <c r="CE123" i="8"/>
  <c r="CA123" i="8"/>
  <c r="BR123" i="8"/>
  <c r="BP123" i="8"/>
  <c r="BO123" i="8"/>
  <c r="BN123" i="8"/>
  <c r="BL123" i="8"/>
  <c r="BK123" i="8"/>
  <c r="BJ123" i="8"/>
  <c r="BH123" i="8"/>
  <c r="BG123" i="8"/>
  <c r="BF123" i="8"/>
  <c r="BF84" i="8" s="1"/>
  <c r="BD123" i="8"/>
  <c r="BC123" i="8"/>
  <c r="BB123" i="8"/>
  <c r="AZ123" i="8"/>
  <c r="AY123" i="8"/>
  <c r="AX123" i="8"/>
  <c r="AV123" i="8"/>
  <c r="AQ123" i="8"/>
  <c r="AM123" i="8"/>
  <c r="AI123" i="8"/>
  <c r="AH123" i="8"/>
  <c r="AF123" i="8"/>
  <c r="AA123" i="8"/>
  <c r="W123" i="8"/>
  <c r="V123" i="8"/>
  <c r="T123" i="8"/>
  <c r="S123" i="8"/>
  <c r="R123" i="8"/>
  <c r="Q123" i="8"/>
  <c r="O123" i="8"/>
  <c r="N123" i="8"/>
  <c r="J123" i="8"/>
  <c r="I123" i="8"/>
  <c r="G123" i="8"/>
  <c r="F123" i="8"/>
  <c r="E123" i="8"/>
  <c r="HX122" i="8"/>
  <c r="HW122" i="8"/>
  <c r="HV122" i="8"/>
  <c r="HU122" i="8"/>
  <c r="HT122" i="8"/>
  <c r="HS122" i="8"/>
  <c r="HR122" i="8"/>
  <c r="HQ122" i="8"/>
  <c r="HP122" i="8"/>
  <c r="HO122" i="8"/>
  <c r="HN122" i="8"/>
  <c r="HM122" i="8"/>
  <c r="HL122" i="8"/>
  <c r="HK122" i="8"/>
  <c r="HJ122" i="8"/>
  <c r="HI122" i="8"/>
  <c r="HH122" i="8"/>
  <c r="HG122" i="8"/>
  <c r="HF122" i="8"/>
  <c r="HE122" i="8"/>
  <c r="HD122" i="8"/>
  <c r="HC122" i="8"/>
  <c r="HB122" i="8"/>
  <c r="HA122" i="8"/>
  <c r="GZ122" i="8"/>
  <c r="GY122" i="8"/>
  <c r="GX122" i="8"/>
  <c r="GW122" i="8"/>
  <c r="GV122" i="8"/>
  <c r="GU122" i="8"/>
  <c r="GT122" i="8"/>
  <c r="GS122" i="8"/>
  <c r="GR122" i="8"/>
  <c r="GQ122" i="8"/>
  <c r="GP122" i="8"/>
  <c r="GO122" i="8"/>
  <c r="GN122" i="8"/>
  <c r="GM122" i="8"/>
  <c r="GL122" i="8"/>
  <c r="GK122" i="8"/>
  <c r="GJ122" i="8"/>
  <c r="GI122" i="8"/>
  <c r="GH122" i="8"/>
  <c r="GG122" i="8"/>
  <c r="GF122" i="8"/>
  <c r="GE122" i="8"/>
  <c r="GD122" i="8"/>
  <c r="GC122" i="8"/>
  <c r="GB122" i="8"/>
  <c r="GA122" i="8"/>
  <c r="FZ122" i="8"/>
  <c r="FY122" i="8"/>
  <c r="FX122" i="8"/>
  <c r="FW122" i="8"/>
  <c r="FV122" i="8"/>
  <c r="DV122" i="8"/>
  <c r="DU122" i="8"/>
  <c r="DS122" i="8"/>
  <c r="DO122" i="8"/>
  <c r="DL122" i="8"/>
  <c r="DH122" i="8"/>
  <c r="DG122" i="8"/>
  <c r="DD122" i="8"/>
  <c r="DC122" i="8"/>
  <c r="DB122" i="8"/>
  <c r="CZ122" i="8"/>
  <c r="CV122" i="8"/>
  <c r="CR122" i="8"/>
  <c r="CN122" i="8"/>
  <c r="CJ122" i="8"/>
  <c r="CI122" i="8"/>
  <c r="CH122" i="8"/>
  <c r="CF122" i="8"/>
  <c r="CE122" i="8"/>
  <c r="CB122" i="8"/>
  <c r="BX122" i="8"/>
  <c r="BV122" i="8"/>
  <c r="BS122" i="8"/>
  <c r="BR122" i="8"/>
  <c r="BP122" i="8"/>
  <c r="BL122" i="8"/>
  <c r="BH122" i="8"/>
  <c r="BG122" i="8"/>
  <c r="BF122" i="8"/>
  <c r="BD122" i="8"/>
  <c r="BC122" i="8"/>
  <c r="BB122" i="8"/>
  <c r="AZ122" i="8"/>
  <c r="AY122" i="8"/>
  <c r="AX122" i="8"/>
  <c r="AV122" i="8"/>
  <c r="AU122" i="8"/>
  <c r="AR122" i="8"/>
  <c r="AN122" i="8"/>
  <c r="AJ122" i="8"/>
  <c r="AI122" i="8"/>
  <c r="AF122" i="8"/>
  <c r="AB122" i="8"/>
  <c r="AA122" i="8"/>
  <c r="Z122" i="8"/>
  <c r="X122" i="8"/>
  <c r="W122" i="8"/>
  <c r="V122" i="8"/>
  <c r="T122" i="8"/>
  <c r="S122" i="8"/>
  <c r="R122" i="8"/>
  <c r="Q122" i="8"/>
  <c r="O122" i="8"/>
  <c r="K122" i="8"/>
  <c r="J122" i="8"/>
  <c r="I122" i="8"/>
  <c r="G122" i="8"/>
  <c r="F122" i="8"/>
  <c r="DV121" i="8"/>
  <c r="DU121" i="8"/>
  <c r="DS121" i="8"/>
  <c r="DS108" i="8" s="1"/>
  <c r="DG121" i="8"/>
  <c r="DC121" i="8"/>
  <c r="DB121" i="8"/>
  <c r="CZ121" i="8"/>
  <c r="CI121" i="8"/>
  <c r="CH121" i="8"/>
  <c r="CF121" i="8"/>
  <c r="CE121" i="8"/>
  <c r="BV121" i="8"/>
  <c r="BS121" i="8"/>
  <c r="BR121" i="8"/>
  <c r="BP121" i="8"/>
  <c r="BG121" i="8"/>
  <c r="BF121" i="8"/>
  <c r="BD121" i="8"/>
  <c r="BC121" i="8"/>
  <c r="BB121" i="8"/>
  <c r="AZ121" i="8"/>
  <c r="AY121" i="8"/>
  <c r="AX121" i="8"/>
  <c r="AV121" i="8"/>
  <c r="AU121" i="8"/>
  <c r="AI121" i="8"/>
  <c r="AA121" i="8"/>
  <c r="AA108" i="8" s="1"/>
  <c r="Z121" i="8"/>
  <c r="X121" i="8"/>
  <c r="X108" i="8" s="1"/>
  <c r="W121" i="8"/>
  <c r="V121" i="8"/>
  <c r="V108" i="8" s="1"/>
  <c r="T121" i="8"/>
  <c r="S121" i="8"/>
  <c r="S108" i="8" s="1"/>
  <c r="R121" i="8"/>
  <c r="Q121" i="8"/>
  <c r="Q108" i="8" s="1"/>
  <c r="O121" i="8"/>
  <c r="J121" i="8"/>
  <c r="J108" i="8" s="1"/>
  <c r="I121" i="8"/>
  <c r="G121" i="8"/>
  <c r="G108" i="8" s="1"/>
  <c r="F121" i="8"/>
  <c r="DV120" i="8"/>
  <c r="DN120" i="8"/>
  <c r="DK120" i="8"/>
  <c r="DG120" i="8"/>
  <c r="DC120" i="8"/>
  <c r="DB120" i="8"/>
  <c r="CZ120" i="8"/>
  <c r="CU120" i="8"/>
  <c r="CT120" i="8"/>
  <c r="CR120" i="8"/>
  <c r="CI120" i="8"/>
  <c r="CH120" i="8"/>
  <c r="CF120" i="8"/>
  <c r="CA120" i="8"/>
  <c r="BO120" i="8"/>
  <c r="BG120" i="8"/>
  <c r="BF120" i="8"/>
  <c r="BD120" i="8"/>
  <c r="BC120" i="8"/>
  <c r="BB120" i="8"/>
  <c r="AZ120" i="8"/>
  <c r="AY120" i="8"/>
  <c r="AI120" i="8"/>
  <c r="AE120" i="8"/>
  <c r="AA120" i="8"/>
  <c r="W120" i="8"/>
  <c r="S120" i="8"/>
  <c r="R120" i="8"/>
  <c r="Q120" i="8"/>
  <c r="O120" i="8"/>
  <c r="J120" i="8"/>
  <c r="F120" i="8"/>
  <c r="HX117" i="8"/>
  <c r="HW117" i="8"/>
  <c r="HV117" i="8"/>
  <c r="HU117" i="8"/>
  <c r="HT117" i="8"/>
  <c r="HS117" i="8"/>
  <c r="HR117" i="8"/>
  <c r="HQ117" i="8"/>
  <c r="HP117" i="8"/>
  <c r="HO117" i="8"/>
  <c r="HN117" i="8"/>
  <c r="HM117" i="8"/>
  <c r="HL117" i="8"/>
  <c r="HK117" i="8"/>
  <c r="HJ117" i="8"/>
  <c r="HI117" i="8"/>
  <c r="HH117" i="8"/>
  <c r="HG117" i="8"/>
  <c r="HF117" i="8"/>
  <c r="HE117" i="8"/>
  <c r="HD117" i="8"/>
  <c r="HC117" i="8"/>
  <c r="HB117" i="8"/>
  <c r="HA117" i="8"/>
  <c r="GZ117" i="8"/>
  <c r="GY117" i="8"/>
  <c r="GX117" i="8"/>
  <c r="GW117" i="8"/>
  <c r="GV117" i="8"/>
  <c r="GU117" i="8"/>
  <c r="GT117" i="8"/>
  <c r="GS117" i="8"/>
  <c r="GR117" i="8"/>
  <c r="GQ117" i="8"/>
  <c r="GP117" i="8"/>
  <c r="GO117" i="8"/>
  <c r="GN117" i="8"/>
  <c r="GM117" i="8"/>
  <c r="GL117" i="8"/>
  <c r="GK117" i="8"/>
  <c r="GJ117" i="8"/>
  <c r="GI117" i="8"/>
  <c r="GH117" i="8"/>
  <c r="GG117" i="8"/>
  <c r="GF117" i="8"/>
  <c r="GE117" i="8"/>
  <c r="GD117" i="8"/>
  <c r="GC117" i="8"/>
  <c r="GB117" i="8"/>
  <c r="GA117" i="8"/>
  <c r="FZ117" i="8"/>
  <c r="FY117" i="8"/>
  <c r="FX117" i="8"/>
  <c r="FW117" i="8"/>
  <c r="FV117" i="8"/>
  <c r="DV117" i="8"/>
  <c r="DU117" i="8"/>
  <c r="DS117" i="8"/>
  <c r="DR117" i="8"/>
  <c r="DQ117" i="8"/>
  <c r="DO117" i="8"/>
  <c r="DN117" i="8"/>
  <c r="DM117" i="8"/>
  <c r="DL117" i="8"/>
  <c r="DK117" i="8"/>
  <c r="DJ117" i="8"/>
  <c r="DH117" i="8"/>
  <c r="DG117" i="8"/>
  <c r="DF117" i="8"/>
  <c r="DD117" i="8"/>
  <c r="DC117" i="8"/>
  <c r="DB117" i="8"/>
  <c r="CZ117" i="8"/>
  <c r="CY117" i="8"/>
  <c r="CX117" i="8"/>
  <c r="CV117" i="8"/>
  <c r="CU117" i="8"/>
  <c r="CT117" i="8"/>
  <c r="CR117" i="8"/>
  <c r="CQ117" i="8"/>
  <c r="CP117" i="8"/>
  <c r="CN117" i="8"/>
  <c r="CM117" i="8"/>
  <c r="CL117" i="8"/>
  <c r="CJ117" i="8"/>
  <c r="CI117" i="8"/>
  <c r="CH117" i="8"/>
  <c r="CF117" i="8"/>
  <c r="CE117" i="8"/>
  <c r="CD117" i="8"/>
  <c r="CB117" i="8"/>
  <c r="CA117" i="8"/>
  <c r="BX117" i="8"/>
  <c r="BV117" i="8"/>
  <c r="BS117" i="8"/>
  <c r="BR117" i="8"/>
  <c r="BP117" i="8"/>
  <c r="BO117" i="8"/>
  <c r="BN117" i="8"/>
  <c r="BL117" i="8"/>
  <c r="BK117" i="8"/>
  <c r="BJ117" i="8"/>
  <c r="BH117" i="8"/>
  <c r="BG117" i="8"/>
  <c r="BF117" i="8"/>
  <c r="BD117" i="8"/>
  <c r="BC117" i="8"/>
  <c r="BB117" i="8"/>
  <c r="AZ117" i="8"/>
  <c r="AY117" i="8"/>
  <c r="AV117" i="8"/>
  <c r="AU117" i="8"/>
  <c r="AT117" i="8"/>
  <c r="AR117" i="8"/>
  <c r="AQ117" i="8"/>
  <c r="AP117" i="8"/>
  <c r="AN117" i="8"/>
  <c r="AM117" i="8"/>
  <c r="AL117" i="8"/>
  <c r="AJ117" i="8"/>
  <c r="AI117" i="8"/>
  <c r="AH117" i="8"/>
  <c r="AF117" i="8"/>
  <c r="AE117" i="8"/>
  <c r="AD117" i="8"/>
  <c r="AB117" i="8"/>
  <c r="AA117" i="8"/>
  <c r="Z117" i="8"/>
  <c r="X117" i="8"/>
  <c r="W117" i="8"/>
  <c r="V117" i="8"/>
  <c r="T117" i="8"/>
  <c r="S117" i="8"/>
  <c r="R117" i="8"/>
  <c r="Q117" i="8"/>
  <c r="O117" i="8"/>
  <c r="K117" i="8"/>
  <c r="J117" i="8"/>
  <c r="I117" i="8"/>
  <c r="G117" i="8"/>
  <c r="F117" i="8"/>
  <c r="E117" i="8"/>
  <c r="DQ116" i="8"/>
  <c r="DM116" i="8"/>
  <c r="DL116" i="8"/>
  <c r="DK116" i="8"/>
  <c r="DJ116" i="8"/>
  <c r="DF116" i="8"/>
  <c r="DB116" i="8"/>
  <c r="CX116" i="8"/>
  <c r="CT116" i="8"/>
  <c r="CP116" i="8"/>
  <c r="CL116" i="8"/>
  <c r="CD116" i="8"/>
  <c r="BZ116" i="8"/>
  <c r="BV116" i="8"/>
  <c r="BR116" i="8"/>
  <c r="BN116" i="8"/>
  <c r="BJ116" i="8"/>
  <c r="BF116" i="8"/>
  <c r="BB116" i="8"/>
  <c r="BB108" i="8" s="1"/>
  <c r="AX116" i="8"/>
  <c r="AT116" i="8"/>
  <c r="AP116" i="8"/>
  <c r="AL116" i="8"/>
  <c r="AD116" i="8"/>
  <c r="Z116" i="8"/>
  <c r="Z108" i="8" s="1"/>
  <c r="V116" i="8"/>
  <c r="R116" i="8"/>
  <c r="Q116" i="8"/>
  <c r="M116" i="8"/>
  <c r="I116" i="8"/>
  <c r="E116" i="8"/>
  <c r="HI115" i="8"/>
  <c r="DQ115" i="8"/>
  <c r="DM115" i="8"/>
  <c r="DL115" i="8"/>
  <c r="DL91" i="8" s="1"/>
  <c r="DK115" i="8"/>
  <c r="DJ115" i="8"/>
  <c r="DF115" i="8"/>
  <c r="DB115" i="8"/>
  <c r="DB91" i="8" s="1"/>
  <c r="CX115" i="8"/>
  <c r="CP115" i="8"/>
  <c r="CL115" i="8"/>
  <c r="BZ115" i="8"/>
  <c r="BV115" i="8"/>
  <c r="BN115" i="8"/>
  <c r="BJ115" i="8"/>
  <c r="BF115" i="8"/>
  <c r="BB115" i="8"/>
  <c r="AX115" i="8"/>
  <c r="AP115" i="8"/>
  <c r="AL115" i="8"/>
  <c r="AD115" i="8"/>
  <c r="Z115" i="8"/>
  <c r="Z107" i="8" s="1"/>
  <c r="V115" i="8"/>
  <c r="R115" i="8"/>
  <c r="R107" i="8" s="1"/>
  <c r="Q115" i="8"/>
  <c r="M115" i="8"/>
  <c r="I115" i="8"/>
  <c r="E115" i="8"/>
  <c r="DL114" i="8"/>
  <c r="DB114" i="8"/>
  <c r="BF114" i="8"/>
  <c r="AL114" i="8"/>
  <c r="DM113" i="8"/>
  <c r="DL113" i="8"/>
  <c r="DK113" i="8"/>
  <c r="DJ113" i="8"/>
  <c r="DB113" i="8"/>
  <c r="BV113" i="8"/>
  <c r="BJ113" i="8"/>
  <c r="BF113" i="8"/>
  <c r="AL113" i="8"/>
  <c r="I113" i="8"/>
  <c r="HX112" i="8"/>
  <c r="HW112" i="8"/>
  <c r="HV112" i="8"/>
  <c r="HU112" i="8"/>
  <c r="HT112" i="8"/>
  <c r="HS112" i="8"/>
  <c r="HR112" i="8"/>
  <c r="HQ112" i="8"/>
  <c r="HP112" i="8"/>
  <c r="HO112" i="8"/>
  <c r="HN112" i="8"/>
  <c r="HM112" i="8"/>
  <c r="HL112" i="8"/>
  <c r="HK112" i="8"/>
  <c r="HJ112" i="8"/>
  <c r="HI112" i="8"/>
  <c r="HH112" i="8"/>
  <c r="HG112" i="8"/>
  <c r="HF112" i="8"/>
  <c r="HE112" i="8"/>
  <c r="HD112" i="8"/>
  <c r="HC112" i="8"/>
  <c r="HB112" i="8"/>
  <c r="HA112" i="8"/>
  <c r="GZ112" i="8"/>
  <c r="GY112" i="8"/>
  <c r="GX112" i="8"/>
  <c r="GW112" i="8"/>
  <c r="GV112" i="8"/>
  <c r="GU112" i="8"/>
  <c r="GT112" i="8"/>
  <c r="GS112" i="8"/>
  <c r="GR112" i="8"/>
  <c r="GQ112" i="8"/>
  <c r="GP112" i="8"/>
  <c r="GO112" i="8"/>
  <c r="GN112" i="8"/>
  <c r="GM112" i="8"/>
  <c r="GL112" i="8"/>
  <c r="GK112" i="8"/>
  <c r="GJ112" i="8"/>
  <c r="GI112" i="8"/>
  <c r="GH112" i="8"/>
  <c r="GG112" i="8"/>
  <c r="GF112" i="8"/>
  <c r="GE112" i="8"/>
  <c r="GD112" i="8"/>
  <c r="GC112" i="8"/>
  <c r="GB112" i="8"/>
  <c r="GA112" i="8"/>
  <c r="FZ112" i="8"/>
  <c r="FY112" i="8"/>
  <c r="FX112" i="8"/>
  <c r="FW112" i="8"/>
  <c r="FV112" i="8"/>
  <c r="DS112" i="8"/>
  <c r="DO112" i="8"/>
  <c r="DL112" i="8"/>
  <c r="DH112" i="8"/>
  <c r="DD112" i="8"/>
  <c r="DC112" i="8"/>
  <c r="DB112" i="8"/>
  <c r="CZ112" i="8"/>
  <c r="CV112" i="8"/>
  <c r="CR112" i="8"/>
  <c r="CN112" i="8"/>
  <c r="CJ112" i="8"/>
  <c r="CI112" i="8"/>
  <c r="CH112" i="8"/>
  <c r="CF112" i="8"/>
  <c r="CB112" i="8"/>
  <c r="BX112" i="8"/>
  <c r="BP112" i="8"/>
  <c r="BL112" i="8"/>
  <c r="BH112" i="8"/>
  <c r="BG112" i="8"/>
  <c r="BF112" i="8"/>
  <c r="BD112" i="8"/>
  <c r="BC112" i="8"/>
  <c r="AZ112" i="8"/>
  <c r="AV112" i="8"/>
  <c r="AR112" i="8"/>
  <c r="AN112" i="8"/>
  <c r="AM112" i="8"/>
  <c r="AL112" i="8"/>
  <c r="AJ112" i="8"/>
  <c r="AF112" i="8"/>
  <c r="AB112" i="8"/>
  <c r="X112" i="8"/>
  <c r="T112" i="8"/>
  <c r="O112" i="8"/>
  <c r="K112" i="8"/>
  <c r="G112" i="8"/>
  <c r="F112" i="8"/>
  <c r="HX109" i="8"/>
  <c r="HW109" i="8"/>
  <c r="HV109" i="8"/>
  <c r="HU109" i="8"/>
  <c r="HT109" i="8"/>
  <c r="HS109" i="8"/>
  <c r="HR109" i="8"/>
  <c r="HQ109" i="8"/>
  <c r="HP109" i="8"/>
  <c r="HO109" i="8"/>
  <c r="HN109" i="8"/>
  <c r="HM109" i="8"/>
  <c r="HL109" i="8"/>
  <c r="HK109" i="8"/>
  <c r="HJ109" i="8"/>
  <c r="HI109" i="8"/>
  <c r="HH109" i="8"/>
  <c r="HG109" i="8"/>
  <c r="HF109" i="8"/>
  <c r="HE109" i="8"/>
  <c r="HD109" i="8"/>
  <c r="HC109" i="8"/>
  <c r="HB109" i="8"/>
  <c r="HA109" i="8"/>
  <c r="GZ109" i="8"/>
  <c r="GY109" i="8"/>
  <c r="GX109" i="8"/>
  <c r="GW109" i="8"/>
  <c r="GV109" i="8"/>
  <c r="GU109" i="8"/>
  <c r="GT109" i="8"/>
  <c r="GS109" i="8"/>
  <c r="GR109" i="8"/>
  <c r="GQ109" i="8"/>
  <c r="GP109" i="8"/>
  <c r="GO109" i="8"/>
  <c r="GN109" i="8"/>
  <c r="GM109" i="8"/>
  <c r="GL109" i="8"/>
  <c r="GK109" i="8"/>
  <c r="GJ109" i="8"/>
  <c r="GI109" i="8"/>
  <c r="GH109" i="8"/>
  <c r="GG109" i="8"/>
  <c r="GF109" i="8"/>
  <c r="GE109" i="8"/>
  <c r="GD109" i="8"/>
  <c r="GC109" i="8"/>
  <c r="GB109" i="8"/>
  <c r="GA109" i="8"/>
  <c r="FZ109" i="8"/>
  <c r="FY109" i="8"/>
  <c r="FX109" i="8"/>
  <c r="FW109" i="8"/>
  <c r="FV109" i="8"/>
  <c r="DS109" i="8"/>
  <c r="DO109" i="8"/>
  <c r="DL109" i="8"/>
  <c r="DH109" i="8"/>
  <c r="DD109" i="8"/>
  <c r="DC109" i="8"/>
  <c r="DB109" i="8"/>
  <c r="CZ109" i="8"/>
  <c r="CV109" i="8"/>
  <c r="CR109" i="8"/>
  <c r="CN109" i="8"/>
  <c r="CJ109" i="8"/>
  <c r="CI109" i="8"/>
  <c r="CH109" i="8"/>
  <c r="CF109" i="8"/>
  <c r="CB109" i="8"/>
  <c r="BX109" i="8"/>
  <c r="BP109" i="8"/>
  <c r="BL109" i="8"/>
  <c r="BH109" i="8"/>
  <c r="BG109" i="8"/>
  <c r="BF109" i="8"/>
  <c r="BD109" i="8"/>
  <c r="BC109" i="8"/>
  <c r="AZ109" i="8"/>
  <c r="AV109" i="8"/>
  <c r="AR109" i="8"/>
  <c r="AN109" i="8"/>
  <c r="AM109" i="8"/>
  <c r="AL109" i="8"/>
  <c r="AJ109" i="8"/>
  <c r="AF109" i="8"/>
  <c r="AB109" i="8"/>
  <c r="X109" i="8"/>
  <c r="T109" i="8"/>
  <c r="O109" i="8"/>
  <c r="K109" i="8"/>
  <c r="G109" i="8"/>
  <c r="F109" i="8"/>
  <c r="HX108" i="8"/>
  <c r="HW108" i="8"/>
  <c r="HV108" i="8"/>
  <c r="HU108" i="8"/>
  <c r="HT108" i="8"/>
  <c r="HS108" i="8"/>
  <c r="HR108" i="8"/>
  <c r="HQ108" i="8"/>
  <c r="HP108" i="8"/>
  <c r="HO108" i="8"/>
  <c r="HN108" i="8"/>
  <c r="HM108" i="8"/>
  <c r="HL108" i="8"/>
  <c r="HK108" i="8"/>
  <c r="HJ108" i="8"/>
  <c r="HI108" i="8"/>
  <c r="HH108" i="8"/>
  <c r="HG108" i="8"/>
  <c r="HF108" i="8"/>
  <c r="HE108" i="8"/>
  <c r="HD108" i="8"/>
  <c r="HC108" i="8"/>
  <c r="HB108" i="8"/>
  <c r="HA108" i="8"/>
  <c r="GZ108" i="8"/>
  <c r="GY108" i="8"/>
  <c r="GX108" i="8"/>
  <c r="GW108" i="8"/>
  <c r="GV108" i="8"/>
  <c r="GU108" i="8"/>
  <c r="GT108" i="8"/>
  <c r="GS108" i="8"/>
  <c r="GR108" i="8"/>
  <c r="GQ108" i="8"/>
  <c r="GP108" i="8"/>
  <c r="GO108" i="8"/>
  <c r="GN108" i="8"/>
  <c r="GM108" i="8"/>
  <c r="GL108" i="8"/>
  <c r="GK108" i="8"/>
  <c r="GJ108" i="8"/>
  <c r="GI108" i="8"/>
  <c r="GH108" i="8"/>
  <c r="GG108" i="8"/>
  <c r="GF108" i="8"/>
  <c r="GE108" i="8"/>
  <c r="GD108" i="8"/>
  <c r="GC108" i="8"/>
  <c r="GB108" i="8"/>
  <c r="GA108" i="8"/>
  <c r="FZ108" i="8"/>
  <c r="FY108" i="8"/>
  <c r="FX108" i="8"/>
  <c r="FW108" i="8"/>
  <c r="FV108" i="8"/>
  <c r="DV108" i="8"/>
  <c r="DG108" i="8"/>
  <c r="DB108" i="8"/>
  <c r="CI108" i="8"/>
  <c r="CF108" i="8"/>
  <c r="BV108" i="8"/>
  <c r="BR108" i="8"/>
  <c r="BG108" i="8"/>
  <c r="BD108" i="8"/>
  <c r="AY108" i="8"/>
  <c r="AV108" i="8"/>
  <c r="AI108" i="8"/>
  <c r="W108" i="8"/>
  <c r="T108" i="8"/>
  <c r="R108" i="8"/>
  <c r="O108" i="8"/>
  <c r="I108" i="8"/>
  <c r="F108" i="8"/>
  <c r="HI107" i="8"/>
  <c r="DB107" i="8"/>
  <c r="BV107" i="8"/>
  <c r="BF107" i="8"/>
  <c r="BB107" i="8"/>
  <c r="AX107" i="8"/>
  <c r="V107" i="8"/>
  <c r="Q107" i="8"/>
  <c r="I107" i="8"/>
  <c r="DV106" i="8"/>
  <c r="DU106" i="8"/>
  <c r="DS106" i="8"/>
  <c r="DO106" i="8"/>
  <c r="DL106" i="8"/>
  <c r="DH106" i="8"/>
  <c r="DG106" i="8"/>
  <c r="DD106" i="8"/>
  <c r="DC106" i="8"/>
  <c r="DB106" i="8"/>
  <c r="CZ106" i="8"/>
  <c r="CV106" i="8"/>
  <c r="CR106" i="8"/>
  <c r="CN106" i="8"/>
  <c r="CJ106" i="8"/>
  <c r="CI106" i="8"/>
  <c r="CH106" i="8"/>
  <c r="CF106" i="8"/>
  <c r="CE106" i="8"/>
  <c r="CB106" i="8"/>
  <c r="BX106" i="8"/>
  <c r="BV106" i="8"/>
  <c r="BS106" i="8"/>
  <c r="BR106" i="8"/>
  <c r="BP106" i="8"/>
  <c r="BL106" i="8"/>
  <c r="BH106" i="8"/>
  <c r="BG106" i="8"/>
  <c r="BF106" i="8"/>
  <c r="BD106" i="8"/>
  <c r="BC106" i="8"/>
  <c r="BB106" i="8"/>
  <c r="AZ106" i="8"/>
  <c r="AY106" i="8"/>
  <c r="AX106" i="8"/>
  <c r="AV106" i="8"/>
  <c r="AU106" i="8"/>
  <c r="AR106" i="8"/>
  <c r="AN106" i="8"/>
  <c r="AJ106" i="8"/>
  <c r="AI106" i="8"/>
  <c r="AF106" i="8"/>
  <c r="AB106" i="8"/>
  <c r="AA106" i="8"/>
  <c r="Z106" i="8"/>
  <c r="X106" i="8"/>
  <c r="W106" i="8"/>
  <c r="V106" i="8"/>
  <c r="T106" i="8"/>
  <c r="S106" i="8"/>
  <c r="R106" i="8"/>
  <c r="Q106" i="8"/>
  <c r="O106" i="8"/>
  <c r="K106" i="8"/>
  <c r="J106" i="8"/>
  <c r="I106" i="8"/>
  <c r="G106" i="8"/>
  <c r="F106" i="8"/>
  <c r="DS105" i="8"/>
  <c r="DO105" i="8"/>
  <c r="DL105" i="8"/>
  <c r="DH105" i="8"/>
  <c r="DD105" i="8"/>
  <c r="DC105" i="8"/>
  <c r="DB105" i="8"/>
  <c r="CZ105" i="8"/>
  <c r="CV105" i="8"/>
  <c r="CR105" i="8"/>
  <c r="CN105" i="8"/>
  <c r="CJ105" i="8"/>
  <c r="CI105" i="8"/>
  <c r="CH105" i="8"/>
  <c r="CF105" i="8"/>
  <c r="CB105" i="8"/>
  <c r="BX105" i="8"/>
  <c r="BV105" i="8"/>
  <c r="BP105" i="8"/>
  <c r="BL105" i="8"/>
  <c r="BH105" i="8"/>
  <c r="BG105" i="8"/>
  <c r="BF105" i="8"/>
  <c r="BD105" i="8"/>
  <c r="BC105" i="8"/>
  <c r="BB105" i="8"/>
  <c r="AZ105" i="8"/>
  <c r="AY105" i="8"/>
  <c r="AX105" i="8"/>
  <c r="AV105" i="8"/>
  <c r="AR105" i="8"/>
  <c r="AN105" i="8"/>
  <c r="AJ105" i="8"/>
  <c r="AF105" i="8"/>
  <c r="AB105" i="8"/>
  <c r="X105" i="8"/>
  <c r="T105" i="8"/>
  <c r="O105" i="8"/>
  <c r="K105" i="8"/>
  <c r="J105" i="8"/>
  <c r="I105" i="8"/>
  <c r="G105" i="8"/>
  <c r="F105" i="8"/>
  <c r="HX104" i="8"/>
  <c r="HW104" i="8"/>
  <c r="HV104" i="8"/>
  <c r="HU104" i="8"/>
  <c r="HT104" i="8"/>
  <c r="HS104" i="8"/>
  <c r="HR104" i="8"/>
  <c r="HQ104" i="8"/>
  <c r="HP104" i="8"/>
  <c r="HO104" i="8"/>
  <c r="HN104" i="8"/>
  <c r="HM104" i="8"/>
  <c r="HL104" i="8"/>
  <c r="HK104" i="8"/>
  <c r="HJ104" i="8"/>
  <c r="HI104" i="8"/>
  <c r="HH104" i="8"/>
  <c r="HG104" i="8"/>
  <c r="HF104" i="8"/>
  <c r="HE104" i="8"/>
  <c r="HD104" i="8"/>
  <c r="HC104" i="8"/>
  <c r="HB104" i="8"/>
  <c r="HA104" i="8"/>
  <c r="GZ104" i="8"/>
  <c r="GY104" i="8"/>
  <c r="GX104" i="8"/>
  <c r="GW104" i="8"/>
  <c r="GV104" i="8"/>
  <c r="GU104" i="8"/>
  <c r="GT104" i="8"/>
  <c r="GS104" i="8"/>
  <c r="GR104" i="8"/>
  <c r="GQ104" i="8"/>
  <c r="GP104" i="8"/>
  <c r="GO104" i="8"/>
  <c r="GN104" i="8"/>
  <c r="GM104" i="8"/>
  <c r="GL104" i="8"/>
  <c r="GK104" i="8"/>
  <c r="GJ104" i="8"/>
  <c r="GI104" i="8"/>
  <c r="GH104" i="8"/>
  <c r="GG104" i="8"/>
  <c r="GF104" i="8"/>
  <c r="GE104" i="8"/>
  <c r="GD104" i="8"/>
  <c r="GC104" i="8"/>
  <c r="GB104" i="8"/>
  <c r="GA104" i="8"/>
  <c r="FZ104" i="8"/>
  <c r="FY104" i="8"/>
  <c r="FX104" i="8"/>
  <c r="FW104" i="8"/>
  <c r="FV104" i="8"/>
  <c r="DS104" i="8"/>
  <c r="DO104" i="8"/>
  <c r="DN104" i="8"/>
  <c r="DL104" i="8"/>
  <c r="DK104" i="8"/>
  <c r="DH104" i="8"/>
  <c r="DD104" i="8"/>
  <c r="DC104" i="8"/>
  <c r="DB104" i="8"/>
  <c r="CZ104" i="8"/>
  <c r="CV104" i="8"/>
  <c r="CR104" i="8"/>
  <c r="CN104" i="8"/>
  <c r="CJ104" i="8"/>
  <c r="CI104" i="8"/>
  <c r="CH104" i="8"/>
  <c r="CF104" i="8"/>
  <c r="CB104" i="8"/>
  <c r="CA104" i="8"/>
  <c r="BX104" i="8"/>
  <c r="BS104" i="8"/>
  <c r="BP104" i="8"/>
  <c r="BL104" i="8"/>
  <c r="BH104" i="8"/>
  <c r="BG104" i="8"/>
  <c r="BF104" i="8"/>
  <c r="BD104" i="8"/>
  <c r="BC104" i="8"/>
  <c r="BB104" i="8"/>
  <c r="AZ104" i="8"/>
  <c r="AY104" i="8"/>
  <c r="AV104" i="8"/>
  <c r="AR104" i="8"/>
  <c r="AN104" i="8"/>
  <c r="AJ104" i="8"/>
  <c r="AI104" i="8"/>
  <c r="AF104" i="8"/>
  <c r="AB104" i="8"/>
  <c r="AA104" i="8"/>
  <c r="X104" i="8"/>
  <c r="W104" i="8"/>
  <c r="T104" i="8"/>
  <c r="R104" i="8"/>
  <c r="Q104" i="8"/>
  <c r="O104" i="8"/>
  <c r="K104" i="8"/>
  <c r="J104" i="8"/>
  <c r="G104" i="8"/>
  <c r="F104" i="8"/>
  <c r="DM101" i="8"/>
  <c r="DL101" i="8"/>
  <c r="DK101" i="8"/>
  <c r="DB101" i="8"/>
  <c r="BV101" i="8"/>
  <c r="BJ101" i="8"/>
  <c r="BF101" i="8"/>
  <c r="AL101" i="8"/>
  <c r="I101" i="8"/>
  <c r="DU100" i="8"/>
  <c r="DL100" i="8"/>
  <c r="DB100" i="8"/>
  <c r="BV100" i="8"/>
  <c r="BR100" i="8"/>
  <c r="BF100" i="8"/>
  <c r="BB100" i="8"/>
  <c r="AX100" i="8"/>
  <c r="Z100" i="8"/>
  <c r="R100" i="8"/>
  <c r="Q100" i="8"/>
  <c r="DL97" i="8"/>
  <c r="DB97" i="8"/>
  <c r="BF97" i="8"/>
  <c r="BB97" i="8"/>
  <c r="R97" i="8"/>
  <c r="Q97" i="8"/>
  <c r="HX96" i="8"/>
  <c r="HW96" i="8"/>
  <c r="HV96" i="8"/>
  <c r="HU96" i="8"/>
  <c r="HT96" i="8"/>
  <c r="HS96" i="8"/>
  <c r="HR96" i="8"/>
  <c r="HQ96" i="8"/>
  <c r="HP96" i="8"/>
  <c r="HO96" i="8"/>
  <c r="HN96" i="8"/>
  <c r="HM96" i="8"/>
  <c r="HL96" i="8"/>
  <c r="HK96" i="8"/>
  <c r="HJ96" i="8"/>
  <c r="HI96" i="8"/>
  <c r="HH96" i="8"/>
  <c r="HG96" i="8"/>
  <c r="HF96" i="8"/>
  <c r="HE96" i="8"/>
  <c r="HD96" i="8"/>
  <c r="HC96" i="8"/>
  <c r="HB96" i="8"/>
  <c r="HA96" i="8"/>
  <c r="GZ96" i="8"/>
  <c r="GY96" i="8"/>
  <c r="GX96" i="8"/>
  <c r="GW96" i="8"/>
  <c r="GV96" i="8"/>
  <c r="GU96" i="8"/>
  <c r="GT96" i="8"/>
  <c r="GS96" i="8"/>
  <c r="GR96" i="8"/>
  <c r="GQ96" i="8"/>
  <c r="GP96" i="8"/>
  <c r="GO96" i="8"/>
  <c r="GN96" i="8"/>
  <c r="GM96" i="8"/>
  <c r="GL96" i="8"/>
  <c r="GK96" i="8"/>
  <c r="GJ96" i="8"/>
  <c r="GI96" i="8"/>
  <c r="GH96" i="8"/>
  <c r="GG96" i="8"/>
  <c r="GF96" i="8"/>
  <c r="GE96" i="8"/>
  <c r="GD96" i="8"/>
  <c r="GC96" i="8"/>
  <c r="GB96" i="8"/>
  <c r="GA96" i="8"/>
  <c r="FZ96" i="8"/>
  <c r="FY96" i="8"/>
  <c r="FX96" i="8"/>
  <c r="FW96" i="8"/>
  <c r="FV96" i="8"/>
  <c r="DS96" i="8"/>
  <c r="DO96" i="8"/>
  <c r="DL96" i="8"/>
  <c r="DH96" i="8"/>
  <c r="DD96" i="8"/>
  <c r="DC96" i="8"/>
  <c r="DB96" i="8"/>
  <c r="CZ96" i="8"/>
  <c r="CV96" i="8"/>
  <c r="CR96" i="8"/>
  <c r="CN96" i="8"/>
  <c r="CJ96" i="8"/>
  <c r="CI96" i="8"/>
  <c r="CH96" i="8"/>
  <c r="CF96" i="8"/>
  <c r="CB96" i="8"/>
  <c r="BX96" i="8"/>
  <c r="BP96" i="8"/>
  <c r="BL96" i="8"/>
  <c r="BH96" i="8"/>
  <c r="BG96" i="8"/>
  <c r="BF96" i="8"/>
  <c r="BD96" i="8"/>
  <c r="BC96" i="8"/>
  <c r="AZ96" i="8"/>
  <c r="AV96" i="8"/>
  <c r="AR96" i="8"/>
  <c r="AN96" i="8"/>
  <c r="AJ96" i="8"/>
  <c r="AF96" i="8"/>
  <c r="AB96" i="8"/>
  <c r="X96" i="8"/>
  <c r="T96" i="8"/>
  <c r="O96" i="8"/>
  <c r="K96" i="8"/>
  <c r="G96" i="8"/>
  <c r="F96" i="8"/>
  <c r="DU95" i="8"/>
  <c r="DB95" i="8"/>
  <c r="BV95" i="8"/>
  <c r="BR95" i="8"/>
  <c r="BF95" i="8"/>
  <c r="BB95" i="8"/>
  <c r="AX95" i="8"/>
  <c r="Z95" i="8"/>
  <c r="V95" i="8"/>
  <c r="R95" i="8"/>
  <c r="Q95" i="8"/>
  <c r="I95" i="8"/>
  <c r="HX94" i="8"/>
  <c r="HW94" i="8"/>
  <c r="HV94" i="8"/>
  <c r="HU94" i="8"/>
  <c r="HT94" i="8"/>
  <c r="HS94" i="8"/>
  <c r="HR94" i="8"/>
  <c r="HQ94" i="8"/>
  <c r="HP94" i="8"/>
  <c r="HO94" i="8"/>
  <c r="HN94" i="8"/>
  <c r="HM94" i="8"/>
  <c r="HL94" i="8"/>
  <c r="HK94" i="8"/>
  <c r="HJ94" i="8"/>
  <c r="HI94" i="8"/>
  <c r="HH94" i="8"/>
  <c r="HG94" i="8"/>
  <c r="HF94" i="8"/>
  <c r="HE94" i="8"/>
  <c r="HD94" i="8"/>
  <c r="HC94" i="8"/>
  <c r="HB94" i="8"/>
  <c r="HA94" i="8"/>
  <c r="GZ94" i="8"/>
  <c r="GY94" i="8"/>
  <c r="GX94" i="8"/>
  <c r="GW94" i="8"/>
  <c r="GV94" i="8"/>
  <c r="GU94" i="8"/>
  <c r="GT94" i="8"/>
  <c r="GS94" i="8"/>
  <c r="GR94" i="8"/>
  <c r="GQ94" i="8"/>
  <c r="GP94" i="8"/>
  <c r="GO94" i="8"/>
  <c r="GN94" i="8"/>
  <c r="GM94" i="8"/>
  <c r="GL94" i="8"/>
  <c r="GK94" i="8"/>
  <c r="GJ94" i="8"/>
  <c r="GI94" i="8"/>
  <c r="GH94" i="8"/>
  <c r="GG94" i="8"/>
  <c r="GF94" i="8"/>
  <c r="GE94" i="8"/>
  <c r="GD94" i="8"/>
  <c r="GC94" i="8"/>
  <c r="GB94" i="8"/>
  <c r="GA94" i="8"/>
  <c r="FZ94" i="8"/>
  <c r="FY94" i="8"/>
  <c r="FX94" i="8"/>
  <c r="FW94" i="8"/>
  <c r="FV94" i="8"/>
  <c r="DS94" i="8"/>
  <c r="DO94" i="8"/>
  <c r="DL94" i="8"/>
  <c r="DH94" i="8"/>
  <c r="DD94" i="8"/>
  <c r="DC94" i="8"/>
  <c r="DB94" i="8"/>
  <c r="CZ94" i="8"/>
  <c r="CV94" i="8"/>
  <c r="CR94" i="8"/>
  <c r="CN94" i="8"/>
  <c r="CJ94" i="8"/>
  <c r="CI94" i="8"/>
  <c r="CH94" i="8"/>
  <c r="CF94" i="8"/>
  <c r="CB94" i="8"/>
  <c r="BX94" i="8"/>
  <c r="BP94" i="8"/>
  <c r="BL94" i="8"/>
  <c r="BH94" i="8"/>
  <c r="BG94" i="8"/>
  <c r="BF94" i="8"/>
  <c r="BD94" i="8"/>
  <c r="BC94" i="8"/>
  <c r="AZ94" i="8"/>
  <c r="AV94" i="8"/>
  <c r="AR94" i="8"/>
  <c r="AN94" i="8"/>
  <c r="AJ94" i="8"/>
  <c r="AF94" i="8"/>
  <c r="AB94" i="8"/>
  <c r="X94" i="8"/>
  <c r="T94" i="8"/>
  <c r="O94" i="8"/>
  <c r="K94" i="8"/>
  <c r="G94" i="8"/>
  <c r="F94" i="8"/>
  <c r="DS91" i="8"/>
  <c r="DO91" i="8"/>
  <c r="DH91" i="8"/>
  <c r="DD91" i="8"/>
  <c r="DC91" i="8"/>
  <c r="CZ91" i="8"/>
  <c r="CV91" i="8"/>
  <c r="CR91" i="8"/>
  <c r="CN91" i="8"/>
  <c r="CJ91" i="8"/>
  <c r="CI91" i="8"/>
  <c r="CH91" i="8"/>
  <c r="CF91" i="8"/>
  <c r="CB91" i="8"/>
  <c r="BX91" i="8"/>
  <c r="BP91" i="8"/>
  <c r="BL91" i="8"/>
  <c r="BH91" i="8"/>
  <c r="BG91" i="8"/>
  <c r="BF91" i="8"/>
  <c r="BD91" i="8"/>
  <c r="BC91" i="8"/>
  <c r="AZ91" i="8"/>
  <c r="AV91" i="8"/>
  <c r="AR91" i="8"/>
  <c r="AN91" i="8"/>
  <c r="AM91" i="8"/>
  <c r="AL91" i="8"/>
  <c r="AJ91" i="8"/>
  <c r="AF91" i="8"/>
  <c r="AB91" i="8"/>
  <c r="X91" i="8"/>
  <c r="T91" i="8"/>
  <c r="O91" i="8"/>
  <c r="K91" i="8"/>
  <c r="G91" i="8"/>
  <c r="F91" i="8"/>
  <c r="DS90" i="8"/>
  <c r="DO90" i="8"/>
  <c r="DL90" i="8"/>
  <c r="DH90" i="8"/>
  <c r="DD90" i="8"/>
  <c r="DC90" i="8"/>
  <c r="DB90" i="8"/>
  <c r="CZ90" i="8"/>
  <c r="CV90" i="8"/>
  <c r="CR90" i="8"/>
  <c r="CN90" i="8"/>
  <c r="CJ90" i="8"/>
  <c r="CI90" i="8"/>
  <c r="CH90" i="8"/>
  <c r="CF90" i="8"/>
  <c r="CB90" i="8"/>
  <c r="BX90" i="8"/>
  <c r="BP90" i="8"/>
  <c r="BL90" i="8"/>
  <c r="BH90" i="8"/>
  <c r="BG90" i="8"/>
  <c r="BF90" i="8"/>
  <c r="BD90" i="8"/>
  <c r="BC90" i="8"/>
  <c r="AZ90" i="8"/>
  <c r="AV90" i="8"/>
  <c r="AR90" i="8"/>
  <c r="AN90" i="8"/>
  <c r="AM90" i="8"/>
  <c r="AL90" i="8"/>
  <c r="AJ90" i="8"/>
  <c r="AF90" i="8"/>
  <c r="AB90" i="8"/>
  <c r="X90" i="8"/>
  <c r="T90" i="8"/>
  <c r="O90" i="8"/>
  <c r="K90" i="8"/>
  <c r="G90" i="8"/>
  <c r="F90" i="8"/>
  <c r="HX88" i="8"/>
  <c r="HW88" i="8"/>
  <c r="HV88" i="8"/>
  <c r="HU88" i="8"/>
  <c r="HT88" i="8"/>
  <c r="HS88" i="8"/>
  <c r="HR88" i="8"/>
  <c r="HQ88" i="8"/>
  <c r="HP88" i="8"/>
  <c r="HO88" i="8"/>
  <c r="HN88" i="8"/>
  <c r="HM88" i="8"/>
  <c r="HL88" i="8"/>
  <c r="HK88" i="8"/>
  <c r="HJ88" i="8"/>
  <c r="HI88" i="8"/>
  <c r="HH88" i="8"/>
  <c r="HG88" i="8"/>
  <c r="HF88" i="8"/>
  <c r="HE88" i="8"/>
  <c r="HD88" i="8"/>
  <c r="HC88" i="8"/>
  <c r="HB88" i="8"/>
  <c r="HA88" i="8"/>
  <c r="GZ88" i="8"/>
  <c r="GY88" i="8"/>
  <c r="GX88" i="8"/>
  <c r="GW88" i="8"/>
  <c r="GV88" i="8"/>
  <c r="GU88" i="8"/>
  <c r="GT88" i="8"/>
  <c r="GS88" i="8"/>
  <c r="GR88" i="8"/>
  <c r="GQ88" i="8"/>
  <c r="GP88" i="8"/>
  <c r="GO88" i="8"/>
  <c r="GN88" i="8"/>
  <c r="GM88" i="8"/>
  <c r="GL88" i="8"/>
  <c r="GK88" i="8"/>
  <c r="GJ88" i="8"/>
  <c r="GI88" i="8"/>
  <c r="GH88" i="8"/>
  <c r="GG88" i="8"/>
  <c r="GF88" i="8"/>
  <c r="GE88" i="8"/>
  <c r="GD88" i="8"/>
  <c r="GC88" i="8"/>
  <c r="GB88" i="8"/>
  <c r="GA88" i="8"/>
  <c r="FZ88" i="8"/>
  <c r="FY88" i="8"/>
  <c r="FX88" i="8"/>
  <c r="FW88" i="8"/>
  <c r="FV88" i="8"/>
  <c r="DS88" i="8"/>
  <c r="DO88" i="8"/>
  <c r="DL88" i="8"/>
  <c r="DH88" i="8"/>
  <c r="DD88" i="8"/>
  <c r="DC88" i="8"/>
  <c r="DB88" i="8"/>
  <c r="CZ88" i="8"/>
  <c r="CV88" i="8"/>
  <c r="CR88" i="8"/>
  <c r="CN88" i="8"/>
  <c r="CJ88" i="8"/>
  <c r="CI88" i="8"/>
  <c r="CH88" i="8"/>
  <c r="CF88" i="8"/>
  <c r="CB88" i="8"/>
  <c r="BX88" i="8"/>
  <c r="BP88" i="8"/>
  <c r="BL88" i="8"/>
  <c r="BH88" i="8"/>
  <c r="BG88" i="8"/>
  <c r="BF88" i="8"/>
  <c r="BD88" i="8"/>
  <c r="BC88" i="8"/>
  <c r="AZ88" i="8"/>
  <c r="AV88" i="8"/>
  <c r="AR88" i="8"/>
  <c r="AN88" i="8"/>
  <c r="AM88" i="8"/>
  <c r="AL88" i="8"/>
  <c r="AJ88" i="8"/>
  <c r="AF88" i="8"/>
  <c r="AB88" i="8"/>
  <c r="X88" i="8"/>
  <c r="T88" i="8"/>
  <c r="O88" i="8"/>
  <c r="K88" i="8"/>
  <c r="G88" i="8"/>
  <c r="F88" i="8"/>
  <c r="HX87" i="8"/>
  <c r="HW87" i="8"/>
  <c r="HV87" i="8"/>
  <c r="HU87" i="8"/>
  <c r="HT87" i="8"/>
  <c r="HS87" i="8"/>
  <c r="HR87" i="8"/>
  <c r="HQ87" i="8"/>
  <c r="HP87" i="8"/>
  <c r="HO87" i="8"/>
  <c r="HN87" i="8"/>
  <c r="HM87" i="8"/>
  <c r="HL87" i="8"/>
  <c r="HK87" i="8"/>
  <c r="HJ87" i="8"/>
  <c r="HI87" i="8"/>
  <c r="HH87" i="8"/>
  <c r="HG87" i="8"/>
  <c r="HF87" i="8"/>
  <c r="HE87" i="8"/>
  <c r="HD87" i="8"/>
  <c r="HC87" i="8"/>
  <c r="HB87" i="8"/>
  <c r="HA87" i="8"/>
  <c r="GZ87" i="8"/>
  <c r="GY87" i="8"/>
  <c r="GX87" i="8"/>
  <c r="GW87" i="8"/>
  <c r="GV87" i="8"/>
  <c r="GU87" i="8"/>
  <c r="GT87" i="8"/>
  <c r="GS87" i="8"/>
  <c r="GR87" i="8"/>
  <c r="GQ87" i="8"/>
  <c r="GP87" i="8"/>
  <c r="GO87" i="8"/>
  <c r="GN87" i="8"/>
  <c r="GM87" i="8"/>
  <c r="GL87" i="8"/>
  <c r="GK87" i="8"/>
  <c r="GJ87" i="8"/>
  <c r="GI87" i="8"/>
  <c r="GH87" i="8"/>
  <c r="GG87" i="8"/>
  <c r="GF87" i="8"/>
  <c r="GE87" i="8"/>
  <c r="GD87" i="8"/>
  <c r="GC87" i="8"/>
  <c r="GB87" i="8"/>
  <c r="GA87" i="8"/>
  <c r="FZ87" i="8"/>
  <c r="FY87" i="8"/>
  <c r="FX87" i="8"/>
  <c r="FW87" i="8"/>
  <c r="FV87" i="8"/>
  <c r="DV87" i="8"/>
  <c r="DR87" i="8"/>
  <c r="DQ87" i="8"/>
  <c r="DO87" i="8"/>
  <c r="DD87" i="8"/>
  <c r="DC87" i="8"/>
  <c r="DB87" i="8"/>
  <c r="CZ87" i="8"/>
  <c r="CM87" i="8"/>
  <c r="CJ87" i="8"/>
  <c r="CH87" i="8"/>
  <c r="BV87" i="8"/>
  <c r="BS87" i="8"/>
  <c r="BR87" i="8"/>
  <c r="BP87" i="8"/>
  <c r="BK87" i="8"/>
  <c r="BG87" i="8"/>
  <c r="BF87" i="8"/>
  <c r="BD87" i="8"/>
  <c r="BC87" i="8"/>
  <c r="BB87" i="8"/>
  <c r="AZ87" i="8"/>
  <c r="AM87" i="8"/>
  <c r="AA87" i="8"/>
  <c r="Z87" i="8"/>
  <c r="X87" i="8"/>
  <c r="S87" i="8"/>
  <c r="R87" i="8"/>
  <c r="J87" i="8"/>
  <c r="I87" i="8"/>
  <c r="G87" i="8"/>
  <c r="F87" i="8"/>
  <c r="HX86" i="8"/>
  <c r="HW86" i="8"/>
  <c r="HV86" i="8"/>
  <c r="HU86" i="8"/>
  <c r="HT86" i="8"/>
  <c r="HS86" i="8"/>
  <c r="HR86" i="8"/>
  <c r="HQ86" i="8"/>
  <c r="HP86" i="8"/>
  <c r="HO86" i="8"/>
  <c r="HN86" i="8"/>
  <c r="HM86" i="8"/>
  <c r="HL86" i="8"/>
  <c r="HK86" i="8"/>
  <c r="HJ86" i="8"/>
  <c r="HI86" i="8"/>
  <c r="HH86" i="8"/>
  <c r="HG86" i="8"/>
  <c r="HF86" i="8"/>
  <c r="HE86" i="8"/>
  <c r="HD86" i="8"/>
  <c r="HC86" i="8"/>
  <c r="HB86" i="8"/>
  <c r="HA86" i="8"/>
  <c r="GZ86" i="8"/>
  <c r="GY86" i="8"/>
  <c r="GX86" i="8"/>
  <c r="GW86" i="8"/>
  <c r="GV86" i="8"/>
  <c r="GU86" i="8"/>
  <c r="GT86" i="8"/>
  <c r="GS86" i="8"/>
  <c r="GR86" i="8"/>
  <c r="GQ86" i="8"/>
  <c r="GP86" i="8"/>
  <c r="GO86" i="8"/>
  <c r="GN86" i="8"/>
  <c r="GM86" i="8"/>
  <c r="GL86" i="8"/>
  <c r="GK86" i="8"/>
  <c r="GJ86" i="8"/>
  <c r="GI86" i="8"/>
  <c r="GH86" i="8"/>
  <c r="GG86" i="8"/>
  <c r="GF86" i="8"/>
  <c r="GE86" i="8"/>
  <c r="GD86" i="8"/>
  <c r="GC86" i="8"/>
  <c r="GB86" i="8"/>
  <c r="GA86" i="8"/>
  <c r="FZ86" i="8"/>
  <c r="FY86" i="8"/>
  <c r="FX86" i="8"/>
  <c r="FW86" i="8"/>
  <c r="FV86" i="8"/>
  <c r="DV86" i="8"/>
  <c r="DU86" i="8"/>
  <c r="DS86" i="8"/>
  <c r="DB86" i="8"/>
  <c r="CI86" i="8"/>
  <c r="CF86" i="8"/>
  <c r="BV86" i="8"/>
  <c r="BR86" i="8"/>
  <c r="BG86" i="8"/>
  <c r="BD86" i="8"/>
  <c r="BB86" i="8"/>
  <c r="AY86" i="8"/>
  <c r="AV86" i="8"/>
  <c r="AI86" i="8"/>
  <c r="Z86" i="8"/>
  <c r="X86" i="8"/>
  <c r="W86" i="8"/>
  <c r="V86" i="8"/>
  <c r="T86" i="8"/>
  <c r="S86" i="8"/>
  <c r="R86" i="8"/>
  <c r="Q86" i="8"/>
  <c r="O86" i="8"/>
  <c r="J86" i="8"/>
  <c r="I86" i="8"/>
  <c r="G86" i="8"/>
  <c r="F86" i="8"/>
  <c r="DK85" i="8"/>
  <c r="DB85" i="8"/>
  <c r="CH85" i="8"/>
  <c r="BB85" i="8"/>
  <c r="R85" i="8"/>
  <c r="Q85" i="8"/>
  <c r="DB84" i="8"/>
  <c r="DB83" i="8"/>
  <c r="DU69" i="8"/>
  <c r="CY58" i="8"/>
  <c r="DR57" i="8"/>
  <c r="DQ57" i="8"/>
  <c r="DG57" i="8"/>
  <c r="CY57" i="8"/>
  <c r="CT57" i="8"/>
  <c r="AT57" i="8"/>
  <c r="V57" i="8"/>
  <c r="V100" i="8" s="1"/>
  <c r="I57" i="8"/>
  <c r="I100" i="8" s="1"/>
  <c r="DU56" i="8"/>
  <c r="DR56" i="8"/>
  <c r="DQ56" i="8"/>
  <c r="AE56" i="8"/>
  <c r="AD56" i="8"/>
  <c r="V56" i="8"/>
  <c r="I56" i="8"/>
  <c r="DU55" i="8"/>
  <c r="DR55" i="8"/>
  <c r="DQ55" i="8"/>
  <c r="DJ55" i="8"/>
  <c r="DG55" i="8"/>
  <c r="E55" i="8"/>
  <c r="DU54" i="8"/>
  <c r="DR54" i="8"/>
  <c r="DQ54" i="8"/>
  <c r="DJ54" i="8"/>
  <c r="DJ101" i="8" s="1"/>
  <c r="DQ52" i="8"/>
  <c r="DJ52" i="8"/>
  <c r="DF52" i="8"/>
  <c r="DB52" i="8"/>
  <c r="CX52" i="8"/>
  <c r="CP52" i="8"/>
  <c r="CL52" i="8"/>
  <c r="CH52" i="8"/>
  <c r="BZ52" i="8"/>
  <c r="BV52" i="8"/>
  <c r="BN52" i="8"/>
  <c r="BJ52" i="8"/>
  <c r="BF52" i="8"/>
  <c r="BB52" i="8"/>
  <c r="AX52" i="8"/>
  <c r="AP52" i="8"/>
  <c r="AL52" i="8"/>
  <c r="AD52" i="8"/>
  <c r="Z52" i="8"/>
  <c r="V52" i="8"/>
  <c r="R52" i="8"/>
  <c r="M52" i="8"/>
  <c r="I52" i="8"/>
  <c r="E52" i="8"/>
  <c r="DG51" i="8"/>
  <c r="DF51" i="8"/>
  <c r="CE51" i="8"/>
  <c r="CD51" i="8"/>
  <c r="BW51" i="8"/>
  <c r="BV51" i="8"/>
  <c r="AU51" i="8"/>
  <c r="AT51" i="8"/>
  <c r="AQ51" i="8"/>
  <c r="AP51" i="8"/>
  <c r="E51" i="8"/>
  <c r="DU50" i="8"/>
  <c r="AH50" i="8"/>
  <c r="AE50" i="8"/>
  <c r="AE51" i="8" s="1"/>
  <c r="AD50" i="8"/>
  <c r="AD51" i="8" s="1"/>
  <c r="CU49" i="8"/>
  <c r="CT49" i="8"/>
  <c r="AI49" i="8"/>
  <c r="AH49" i="8"/>
  <c r="N49" i="8"/>
  <c r="DV48" i="8"/>
  <c r="DU48" i="8"/>
  <c r="CU48" i="8"/>
  <c r="CT48" i="8"/>
  <c r="BS48" i="8"/>
  <c r="BR48" i="8"/>
  <c r="AI48" i="8"/>
  <c r="AH48" i="8"/>
  <c r="N48" i="8"/>
  <c r="M48" i="8"/>
  <c r="M51" i="8" s="1"/>
  <c r="DV46" i="8"/>
  <c r="DU46" i="8"/>
  <c r="DG46" i="8"/>
  <c r="DF46" i="8"/>
  <c r="CU46" i="8"/>
  <c r="CT46" i="8"/>
  <c r="CQ46" i="8"/>
  <c r="CE46" i="8"/>
  <c r="CD46" i="8"/>
  <c r="BS46" i="8"/>
  <c r="BR46" i="8"/>
  <c r="BO46" i="8"/>
  <c r="BN46" i="8"/>
  <c r="AU46" i="8"/>
  <c r="AT46" i="8"/>
  <c r="AI46" i="8"/>
  <c r="AH46" i="8"/>
  <c r="AE46" i="8"/>
  <c r="AD46" i="8"/>
  <c r="AA46" i="8"/>
  <c r="Z46" i="8"/>
  <c r="W46" i="8"/>
  <c r="V46" i="8"/>
  <c r="S46" i="8"/>
  <c r="R46" i="8"/>
  <c r="Q46" i="8"/>
  <c r="N46" i="8"/>
  <c r="M46" i="8"/>
  <c r="E46" i="8"/>
  <c r="CP44" i="8"/>
  <c r="CP46" i="8" s="1"/>
  <c r="DG42" i="8"/>
  <c r="DG104" i="8" s="1"/>
  <c r="DF42" i="8"/>
  <c r="BW42" i="8"/>
  <c r="BV42" i="8"/>
  <c r="BO42" i="8"/>
  <c r="BO104" i="8" s="1"/>
  <c r="BN42" i="8"/>
  <c r="AU42" i="8"/>
  <c r="AT42" i="8"/>
  <c r="AQ42" i="8"/>
  <c r="AP42" i="8"/>
  <c r="AE42" i="8"/>
  <c r="AE104" i="8" s="1"/>
  <c r="AD42" i="8"/>
  <c r="S42" i="8"/>
  <c r="S104" i="8" s="1"/>
  <c r="DV41" i="8"/>
  <c r="DU41" i="8"/>
  <c r="CQ41" i="8"/>
  <c r="CP41" i="8"/>
  <c r="CD41" i="8"/>
  <c r="DV40" i="8"/>
  <c r="DU40" i="8"/>
  <c r="CU40" i="8"/>
  <c r="CU42" i="8" s="1"/>
  <c r="CU104" i="8" s="1"/>
  <c r="CT40" i="8"/>
  <c r="CT42" i="8" s="1"/>
  <c r="CT104" i="8" s="1"/>
  <c r="CQ40" i="8"/>
  <c r="CP40" i="8"/>
  <c r="CE40" i="8"/>
  <c r="CE42" i="8" s="1"/>
  <c r="CD40" i="8"/>
  <c r="CD42" i="8" s="1"/>
  <c r="DV37" i="8"/>
  <c r="DV35" i="8" s="1"/>
  <c r="DN37" i="8"/>
  <c r="DK37" i="8"/>
  <c r="DG37" i="8"/>
  <c r="DG35" i="8" s="1"/>
  <c r="CU37" i="8"/>
  <c r="CT37" i="8"/>
  <c r="CT96" i="8" s="1"/>
  <c r="CA37" i="8"/>
  <c r="BS37" i="8"/>
  <c r="BS35" i="8" s="1"/>
  <c r="BO37" i="8"/>
  <c r="BB37" i="8"/>
  <c r="AY37" i="8"/>
  <c r="AI37" i="8"/>
  <c r="AE37" i="8"/>
  <c r="AE94" i="8" s="1"/>
  <c r="AA37" i="8"/>
  <c r="W37" i="8"/>
  <c r="W96" i="8" s="1"/>
  <c r="S37" i="8"/>
  <c r="S35" i="8" s="1"/>
  <c r="R37" i="8"/>
  <c r="Q37" i="8"/>
  <c r="Q94" i="8" s="1"/>
  <c r="J37" i="8"/>
  <c r="J35" i="8" s="1"/>
  <c r="CP36" i="8"/>
  <c r="CD36" i="8"/>
  <c r="BZ36" i="8"/>
  <c r="BV36" i="8"/>
  <c r="AU36" i="8"/>
  <c r="AT36" i="8"/>
  <c r="AP36" i="8"/>
  <c r="AL36" i="8"/>
  <c r="AE36" i="8"/>
  <c r="AD36" i="8"/>
  <c r="Z36" i="8"/>
  <c r="M36" i="8"/>
  <c r="R35" i="8"/>
  <c r="DM34" i="8"/>
  <c r="DK34" i="8"/>
  <c r="DJ34" i="8"/>
  <c r="CY34" i="8"/>
  <c r="CU34" i="8"/>
  <c r="CT34" i="8"/>
  <c r="CP34" i="8"/>
  <c r="CD34" i="8"/>
  <c r="CA34" i="8"/>
  <c r="BZ34" i="8"/>
  <c r="BN34" i="8"/>
  <c r="AY34" i="8"/>
  <c r="AY35" i="8" s="1"/>
  <c r="AX34" i="8"/>
  <c r="AU34" i="8"/>
  <c r="AT34" i="8"/>
  <c r="AQ34" i="8"/>
  <c r="AP34" i="8"/>
  <c r="AL34" i="8"/>
  <c r="AI34" i="8"/>
  <c r="AH34" i="8"/>
  <c r="AE34" i="8"/>
  <c r="AD34" i="8"/>
  <c r="W34" i="8"/>
  <c r="V34" i="8"/>
  <c r="Q34" i="8"/>
  <c r="DU33" i="8"/>
  <c r="DN33" i="8"/>
  <c r="DM33" i="8"/>
  <c r="DK33" i="8"/>
  <c r="DJ33" i="8"/>
  <c r="CY33" i="8"/>
  <c r="CX33" i="8"/>
  <c r="CU33" i="8"/>
  <c r="CT33" i="8"/>
  <c r="CD33" i="8"/>
  <c r="BO33" i="8"/>
  <c r="BN33" i="8"/>
  <c r="BJ33" i="8"/>
  <c r="AU33" i="8"/>
  <c r="AT33" i="8"/>
  <c r="AQ33" i="8"/>
  <c r="AP33" i="8"/>
  <c r="AI33" i="8"/>
  <c r="AH33" i="8"/>
  <c r="AE33" i="8"/>
  <c r="AD33" i="8"/>
  <c r="W33" i="8"/>
  <c r="V33" i="8"/>
  <c r="Q33" i="8"/>
  <c r="N33" i="8"/>
  <c r="M33" i="8"/>
  <c r="E33" i="8"/>
  <c r="DU30" i="8"/>
  <c r="DU29" i="8" s="1"/>
  <c r="DR30" i="8"/>
  <c r="DR37" i="8" s="1"/>
  <c r="DQ30" i="8"/>
  <c r="DM30" i="8"/>
  <c r="DM29" i="8" s="1"/>
  <c r="DJ30" i="8"/>
  <c r="DF30" i="8"/>
  <c r="CY30" i="8"/>
  <c r="CY37" i="8" s="1"/>
  <c r="CX30" i="8"/>
  <c r="CQ30" i="8"/>
  <c r="CQ120" i="8" s="1"/>
  <c r="CP30" i="8"/>
  <c r="CP37" i="8" s="1"/>
  <c r="CP94" i="8" s="1"/>
  <c r="CM30" i="8"/>
  <c r="CM37" i="8" s="1"/>
  <c r="CL30" i="8"/>
  <c r="CE30" i="8"/>
  <c r="CE120" i="8" s="1"/>
  <c r="CD30" i="8"/>
  <c r="BZ30" i="8"/>
  <c r="BW30" i="8"/>
  <c r="BW37" i="8" s="1"/>
  <c r="BW35" i="8" s="1"/>
  <c r="BV30" i="8"/>
  <c r="BR30" i="8"/>
  <c r="BN30" i="8"/>
  <c r="BN37" i="8" s="1"/>
  <c r="BK30" i="8"/>
  <c r="BK37" i="8" s="1"/>
  <c r="BJ30" i="8"/>
  <c r="AX30" i="8"/>
  <c r="AU30" i="8"/>
  <c r="AU29" i="8" s="1"/>
  <c r="AT30" i="8"/>
  <c r="AT37" i="8" s="1"/>
  <c r="AQ30" i="8"/>
  <c r="AQ120" i="8" s="1"/>
  <c r="AP30" i="8"/>
  <c r="AP37" i="8" s="1"/>
  <c r="AP94" i="8" s="1"/>
  <c r="AM30" i="8"/>
  <c r="AL30" i="8"/>
  <c r="AL29" i="8" s="1"/>
  <c r="AH30" i="8"/>
  <c r="AH37" i="8" s="1"/>
  <c r="AD30" i="8"/>
  <c r="AD37" i="8" s="1"/>
  <c r="Z30" i="8"/>
  <c r="Z37" i="8" s="1"/>
  <c r="V30" i="8"/>
  <c r="V29" i="8" s="1"/>
  <c r="N30" i="8"/>
  <c r="M30" i="8"/>
  <c r="M37" i="8" s="1"/>
  <c r="M94" i="8" s="1"/>
  <c r="I30" i="8"/>
  <c r="I29" i="8" s="1"/>
  <c r="E30" i="8"/>
  <c r="E37" i="8" s="1"/>
  <c r="DV29" i="8"/>
  <c r="DG29" i="8"/>
  <c r="BS29" i="8"/>
  <c r="BR29" i="8"/>
  <c r="BB29" i="8"/>
  <c r="AY29" i="8"/>
  <c r="AI29" i="8"/>
  <c r="AA29" i="8"/>
  <c r="W29" i="8"/>
  <c r="S29" i="8"/>
  <c r="R29" i="8"/>
  <c r="Q29" i="8"/>
  <c r="J29" i="8"/>
  <c r="DR28" i="8"/>
  <c r="DQ28" i="8"/>
  <c r="DN28" i="8"/>
  <c r="DN29" i="8" s="1"/>
  <c r="DM28" i="8"/>
  <c r="DK28" i="8"/>
  <c r="DK29" i="8" s="1"/>
  <c r="DJ28" i="8"/>
  <c r="DF28" i="8"/>
  <c r="CY28" i="8"/>
  <c r="CX28" i="8"/>
  <c r="CU28" i="8"/>
  <c r="CT28" i="8"/>
  <c r="CQ28" i="8"/>
  <c r="CP28" i="8"/>
  <c r="CM28" i="8"/>
  <c r="CL28" i="8"/>
  <c r="CD28" i="8"/>
  <c r="CA28" i="8"/>
  <c r="CA29" i="8" s="1"/>
  <c r="BZ28" i="8"/>
  <c r="BO28" i="8"/>
  <c r="BO29" i="8" s="1"/>
  <c r="BN28" i="8"/>
  <c r="BK28" i="8"/>
  <c r="BJ28" i="8"/>
  <c r="AT28" i="8"/>
  <c r="AQ28" i="8"/>
  <c r="AP28" i="8"/>
  <c r="AM28" i="8"/>
  <c r="AL28" i="8"/>
  <c r="AH28" i="8"/>
  <c r="AE28" i="8"/>
  <c r="AE29" i="8" s="1"/>
  <c r="AD28" i="8"/>
  <c r="N28" i="8"/>
  <c r="N29" i="8" s="1"/>
  <c r="M28" i="8"/>
  <c r="E28" i="8"/>
  <c r="BZ23" i="8"/>
  <c r="BZ117" i="8" s="1"/>
  <c r="AX23" i="8"/>
  <c r="AX117" i="8" s="1"/>
  <c r="N23" i="8"/>
  <c r="N117" i="8" s="1"/>
  <c r="M23" i="8"/>
  <c r="M117" i="8" s="1"/>
  <c r="DM21" i="8"/>
  <c r="DM24" i="8" s="1"/>
  <c r="DV19" i="8"/>
  <c r="DU19" i="8"/>
  <c r="DR19" i="8"/>
  <c r="DQ19" i="8"/>
  <c r="DQ18" i="8" s="1"/>
  <c r="CU19" i="8"/>
  <c r="CT19" i="8"/>
  <c r="CM19" i="8"/>
  <c r="CL19" i="8"/>
  <c r="CL18" i="8" s="1"/>
  <c r="CA19" i="8"/>
  <c r="CA18" i="8" s="1"/>
  <c r="BZ19" i="8"/>
  <c r="BZ18" i="8" s="1"/>
  <c r="BW19" i="8"/>
  <c r="BW18" i="8" s="1"/>
  <c r="BV19" i="8"/>
  <c r="BV18" i="8" s="1"/>
  <c r="BS19" i="8"/>
  <c r="BR19" i="8"/>
  <c r="BN19" i="8"/>
  <c r="BN18" i="8" s="1"/>
  <c r="BK19" i="8"/>
  <c r="BK18" i="8" s="1"/>
  <c r="BJ19" i="8"/>
  <c r="BB19" i="8"/>
  <c r="AX19" i="8"/>
  <c r="AX18" i="8" s="1"/>
  <c r="S19" i="8"/>
  <c r="R19" i="8"/>
  <c r="R18" i="8" s="1"/>
  <c r="N19" i="8"/>
  <c r="N18" i="8" s="1"/>
  <c r="M19" i="8"/>
  <c r="M18" i="8" s="1"/>
  <c r="J19" i="8"/>
  <c r="J18" i="8" s="1"/>
  <c r="I19" i="8"/>
  <c r="I18" i="8" s="1"/>
  <c r="E19" i="8"/>
  <c r="E18" i="8" s="1"/>
  <c r="DR18" i="8"/>
  <c r="DK18" i="8"/>
  <c r="DJ18" i="8"/>
  <c r="CM18" i="8"/>
  <c r="BO18" i="8"/>
  <c r="BB18" i="8"/>
  <c r="AY18" i="8"/>
  <c r="AI18" i="8"/>
  <c r="AH18" i="8"/>
  <c r="AA18" i="8"/>
  <c r="Z18" i="8"/>
  <c r="W18" i="8"/>
  <c r="V18" i="8"/>
  <c r="S18" i="8"/>
  <c r="Q18" i="8"/>
  <c r="DV17" i="8"/>
  <c r="DU17" i="8"/>
  <c r="DU116" i="8" s="1"/>
  <c r="DU108" i="8" s="1"/>
  <c r="DV16" i="8"/>
  <c r="DV49" i="8" s="1"/>
  <c r="DU16" i="8"/>
  <c r="DU49" i="8" s="1"/>
  <c r="DU52" i="8" s="1"/>
  <c r="CU16" i="8"/>
  <c r="CT16" i="8"/>
  <c r="CD16" i="8"/>
  <c r="CD52" i="8" s="1"/>
  <c r="BS16" i="8"/>
  <c r="BR16" i="8"/>
  <c r="AU16" i="8"/>
  <c r="AT16" i="8"/>
  <c r="AT52" i="8" s="1"/>
  <c r="AI16" i="8"/>
  <c r="AH16" i="8"/>
  <c r="AE16" i="8"/>
  <c r="DV14" i="8"/>
  <c r="DV13" i="8" s="1"/>
  <c r="DU14" i="8"/>
  <c r="DU13" i="8" s="1"/>
  <c r="DR14" i="8"/>
  <c r="DR13" i="8" s="1"/>
  <c r="DQ14" i="8"/>
  <c r="CY14" i="8"/>
  <c r="CL14" i="8"/>
  <c r="CE14" i="8"/>
  <c r="CE13" i="8" s="1"/>
  <c r="BZ14" i="8"/>
  <c r="BS14" i="8"/>
  <c r="BS13" i="8" s="1"/>
  <c r="BR14" i="8"/>
  <c r="BR13" i="8" s="1"/>
  <c r="BO14" i="8"/>
  <c r="BO13" i="8" s="1"/>
  <c r="BN14" i="8"/>
  <c r="BB14" i="8"/>
  <c r="AY14" i="8"/>
  <c r="AX14" i="8"/>
  <c r="AU14" i="8"/>
  <c r="AU13" i="8" s="1"/>
  <c r="AT14" i="8"/>
  <c r="AT13" i="8" s="1"/>
  <c r="Z14" i="8"/>
  <c r="W14" i="8"/>
  <c r="V14" i="8"/>
  <c r="S14" i="8"/>
  <c r="R14" i="8"/>
  <c r="R13" i="8" s="1"/>
  <c r="Q14" i="8"/>
  <c r="E14" i="8"/>
  <c r="DQ13" i="8"/>
  <c r="DK13" i="8"/>
  <c r="DJ13" i="8"/>
  <c r="CM13" i="8"/>
  <c r="CL13" i="8"/>
  <c r="CA13" i="8"/>
  <c r="BZ13" i="8"/>
  <c r="BW13" i="8"/>
  <c r="BV13" i="8"/>
  <c r="BN13" i="8"/>
  <c r="BB13" i="8"/>
  <c r="AI13" i="8"/>
  <c r="AI14" i="8" s="1"/>
  <c r="AH13" i="8"/>
  <c r="AA13" i="8"/>
  <c r="J13" i="8"/>
  <c r="I13" i="8"/>
  <c r="DG12" i="8"/>
  <c r="DF12" i="8"/>
  <c r="CY12" i="8"/>
  <c r="CU12" i="8"/>
  <c r="CT12" i="8"/>
  <c r="AY12" i="8"/>
  <c r="AX12" i="8"/>
  <c r="AE12" i="8"/>
  <c r="AD12" i="8"/>
  <c r="AH11" i="8"/>
  <c r="AH116" i="8" s="1"/>
  <c r="DV9" i="8"/>
  <c r="DV112" i="8" s="1"/>
  <c r="DU9" i="8"/>
  <c r="DU112" i="8" s="1"/>
  <c r="DR9" i="8"/>
  <c r="DQ9" i="8"/>
  <c r="DN9" i="8"/>
  <c r="DN21" i="8" s="1"/>
  <c r="DN24" i="8" s="1"/>
  <c r="DM9" i="8"/>
  <c r="DK9" i="8"/>
  <c r="DK21" i="8" s="1"/>
  <c r="DK24" i="8" s="1"/>
  <c r="DJ9" i="8"/>
  <c r="DJ21" i="8" s="1"/>
  <c r="DJ24" i="8" s="1"/>
  <c r="CM9" i="8"/>
  <c r="CM21" i="8" s="1"/>
  <c r="CM24" i="8" s="1"/>
  <c r="CL9" i="8"/>
  <c r="CA9" i="8"/>
  <c r="BZ9" i="8"/>
  <c r="BW9" i="8"/>
  <c r="BW21" i="8" s="1"/>
  <c r="BW24" i="8" s="1"/>
  <c r="BV9" i="8"/>
  <c r="BS9" i="8"/>
  <c r="BS112" i="8" s="1"/>
  <c r="BR9" i="8"/>
  <c r="BR112" i="8" s="1"/>
  <c r="BO9" i="8"/>
  <c r="BN9" i="8"/>
  <c r="BK9" i="8"/>
  <c r="BJ9" i="8"/>
  <c r="BB9" i="8"/>
  <c r="BB21" i="8" s="1"/>
  <c r="BB24" i="8" s="1"/>
  <c r="AY9" i="8"/>
  <c r="AX9" i="8"/>
  <c r="AI9" i="8"/>
  <c r="AI112" i="8" s="1"/>
  <c r="AH9" i="8"/>
  <c r="AH112" i="8" s="1"/>
  <c r="Z9" i="8"/>
  <c r="W9" i="8"/>
  <c r="W21" i="8" s="1"/>
  <c r="W24" i="8" s="1"/>
  <c r="V9" i="8"/>
  <c r="V21" i="8" s="1"/>
  <c r="V24" i="8" s="1"/>
  <c r="S9" i="8"/>
  <c r="R9" i="8"/>
  <c r="Q9" i="8"/>
  <c r="Q21" i="8" s="1"/>
  <c r="Q24" i="8" s="1"/>
  <c r="J9" i="8"/>
  <c r="I9" i="8"/>
  <c r="I21" i="8" s="1"/>
  <c r="I24" i="8" s="1"/>
  <c r="DG8" i="8"/>
  <c r="DF8" i="8"/>
  <c r="DF87" i="8" s="1"/>
  <c r="CY8" i="8"/>
  <c r="CY19" i="8" s="1"/>
  <c r="CY18" i="8" s="1"/>
  <c r="CX8" i="8"/>
  <c r="CX19" i="8" s="1"/>
  <c r="CX18" i="8" s="1"/>
  <c r="CQ8" i="8"/>
  <c r="CP8" i="8"/>
  <c r="CE8" i="8"/>
  <c r="CE87" i="8" s="1"/>
  <c r="CD8" i="8"/>
  <c r="CD19" i="8" s="1"/>
  <c r="AU8" i="8"/>
  <c r="AT8" i="8"/>
  <c r="AQ8" i="8"/>
  <c r="AP8" i="8"/>
  <c r="AE8" i="8"/>
  <c r="AE19" i="8" s="1"/>
  <c r="AE18" i="8" s="1"/>
  <c r="AD8" i="8"/>
  <c r="AD19" i="8" s="1"/>
  <c r="AD18" i="8" s="1"/>
  <c r="DG7" i="8"/>
  <c r="DG86" i="8" s="1"/>
  <c r="DF7" i="8"/>
  <c r="DF14" i="8" s="1"/>
  <c r="CX7" i="8"/>
  <c r="CX14" i="8" s="1"/>
  <c r="CX13" i="8" s="1"/>
  <c r="CU7" i="8"/>
  <c r="CT7" i="8"/>
  <c r="CT9" i="8" s="1"/>
  <c r="CQ7" i="8"/>
  <c r="CP7" i="8"/>
  <c r="CP14" i="8" s="1"/>
  <c r="CP13" i="8" s="1"/>
  <c r="CD7" i="8"/>
  <c r="CD14" i="8" s="1"/>
  <c r="AQ7" i="8"/>
  <c r="AQ9" i="8" s="1"/>
  <c r="AP7" i="8"/>
  <c r="AE7" i="8"/>
  <c r="AE14" i="8" s="1"/>
  <c r="AD7" i="8"/>
  <c r="AA7" i="8"/>
  <c r="N7" i="8"/>
  <c r="N14" i="8" s="1"/>
  <c r="M7" i="8"/>
  <c r="M14" i="8" s="1"/>
  <c r="M13" i="8" s="1"/>
  <c r="E7" i="8"/>
  <c r="E9" i="8" s="1"/>
  <c r="HY5" i="8"/>
  <c r="HX5" i="8"/>
  <c r="HW5" i="8"/>
  <c r="HV5" i="8"/>
  <c r="HU5" i="8"/>
  <c r="HT5" i="8"/>
  <c r="HS5" i="8"/>
  <c r="HR5" i="8"/>
  <c r="HQ5" i="8"/>
  <c r="HP5" i="8"/>
  <c r="HO5" i="8"/>
  <c r="HN5" i="8"/>
  <c r="HM5" i="8"/>
  <c r="HL5" i="8"/>
  <c r="HK5" i="8"/>
  <c r="HJ5" i="8"/>
  <c r="HI5" i="8"/>
  <c r="HH5" i="8"/>
  <c r="HG5" i="8"/>
  <c r="HF5" i="8"/>
  <c r="HE5" i="8"/>
  <c r="HD5" i="8"/>
  <c r="HC5" i="8"/>
  <c r="HB5" i="8"/>
  <c r="HA5" i="8"/>
  <c r="GZ5" i="8"/>
  <c r="GY5" i="8"/>
  <c r="GX5" i="8"/>
  <c r="GW5" i="8"/>
  <c r="GV5" i="8"/>
  <c r="GU5" i="8"/>
  <c r="GT5" i="8"/>
  <c r="GS5" i="8"/>
  <c r="GR5" i="8"/>
  <c r="GQ5" i="8"/>
  <c r="GP5" i="8"/>
  <c r="GO5" i="8"/>
  <c r="GN5" i="8"/>
  <c r="GM5" i="8"/>
  <c r="GL5" i="8"/>
  <c r="GK5" i="8"/>
  <c r="GJ5" i="8"/>
  <c r="GI5" i="8"/>
  <c r="GH5" i="8"/>
  <c r="GG5" i="8"/>
  <c r="GF5" i="8"/>
  <c r="GE5" i="8"/>
  <c r="GD5" i="8"/>
  <c r="GC5" i="8"/>
  <c r="GB5" i="8"/>
  <c r="GA5" i="8"/>
  <c r="FZ5" i="8"/>
  <c r="FY5" i="8"/>
  <c r="FX5" i="8"/>
  <c r="FW5" i="8"/>
  <c r="FV5" i="8"/>
  <c r="DV5" i="8"/>
  <c r="DU5" i="8"/>
  <c r="DT5" i="8"/>
  <c r="DS5" i="8"/>
  <c r="DR5" i="8"/>
  <c r="DQ5" i="8"/>
  <c r="DP5" i="8"/>
  <c r="DO5" i="8"/>
  <c r="DN5" i="8"/>
  <c r="DM5" i="8"/>
  <c r="DL5" i="8"/>
  <c r="DK5" i="8"/>
  <c r="DJ5" i="8"/>
  <c r="DI5" i="8"/>
  <c r="DH5" i="8"/>
  <c r="DG5" i="8"/>
  <c r="DF5" i="8"/>
  <c r="DE5" i="8"/>
  <c r="DD5" i="8"/>
  <c r="DC5" i="8"/>
  <c r="DB5" i="8"/>
  <c r="DA5" i="8"/>
  <c r="CZ5" i="8"/>
  <c r="CY5" i="8"/>
  <c r="CX5" i="8"/>
  <c r="CW5" i="8"/>
  <c r="CV5" i="8"/>
  <c r="CU5" i="8"/>
  <c r="CT5" i="8"/>
  <c r="CS5" i="8"/>
  <c r="CR5" i="8"/>
  <c r="CQ5" i="8"/>
  <c r="CP5" i="8"/>
  <c r="CO5" i="8"/>
  <c r="CN5" i="8"/>
  <c r="CM5" i="8"/>
  <c r="CL5" i="8"/>
  <c r="CK5" i="8"/>
  <c r="CJ5" i="8"/>
  <c r="CI5" i="8"/>
  <c r="CH5" i="8"/>
  <c r="CG5" i="8"/>
  <c r="CF5" i="8"/>
  <c r="CE5" i="8"/>
  <c r="CD5" i="8"/>
  <c r="CC5" i="8"/>
  <c r="CB5" i="8"/>
  <c r="CA5" i="8"/>
  <c r="BZ5" i="8"/>
  <c r="BY5" i="8"/>
  <c r="BX5" i="8"/>
  <c r="BW5" i="8"/>
  <c r="BV5" i="8"/>
  <c r="BU5" i="8"/>
  <c r="BS5" i="8"/>
  <c r="BR5" i="8"/>
  <c r="BQ5" i="8"/>
  <c r="BP5" i="8"/>
  <c r="BO5" i="8"/>
  <c r="BN5" i="8"/>
  <c r="BM5" i="8"/>
  <c r="BL5" i="8"/>
  <c r="BK5" i="8"/>
  <c r="BJ5" i="8"/>
  <c r="BI5" i="8"/>
  <c r="BH5" i="8"/>
  <c r="BG5" i="8"/>
  <c r="BF5" i="8"/>
  <c r="BE5" i="8"/>
  <c r="BD5" i="8"/>
  <c r="BC5" i="8"/>
  <c r="BB5" i="8"/>
  <c r="BA5" i="8"/>
  <c r="AZ5" i="8"/>
  <c r="AY5" i="8"/>
  <c r="AX5" i="8"/>
  <c r="AW5" i="8"/>
  <c r="AV5" i="8"/>
  <c r="AU5" i="8"/>
  <c r="AT5" i="8"/>
  <c r="AS5" i="8"/>
  <c r="AR5" i="8"/>
  <c r="AQ5" i="8"/>
  <c r="AP5" i="8"/>
  <c r="AO5" i="8"/>
  <c r="AN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BF130" i="7"/>
  <c r="BE130" i="7"/>
  <c r="BC130" i="7"/>
  <c r="AT130" i="7"/>
  <c r="AS130" i="7"/>
  <c r="AQ130" i="7"/>
  <c r="AL130" i="7"/>
  <c r="Z130" i="7"/>
  <c r="Y130" i="7"/>
  <c r="W130" i="7"/>
  <c r="J130" i="7"/>
  <c r="I130" i="7"/>
  <c r="G130" i="7"/>
  <c r="CC129" i="7"/>
  <c r="BY129" i="7"/>
  <c r="BU129" i="7"/>
  <c r="BQ129" i="7"/>
  <c r="BM129" i="7"/>
  <c r="BI129" i="7"/>
  <c r="BA129" i="7"/>
  <c r="AW129" i="7"/>
  <c r="AS129" i="7"/>
  <c r="AO129" i="7"/>
  <c r="AG129" i="7"/>
  <c r="AC129" i="7"/>
  <c r="Y129" i="7"/>
  <c r="U129" i="7"/>
  <c r="Q129" i="7"/>
  <c r="M129" i="7"/>
  <c r="I129" i="7"/>
  <c r="E129" i="7"/>
  <c r="CA128" i="7"/>
  <c r="BW128" i="7"/>
  <c r="BS128" i="7"/>
  <c r="BO128" i="7"/>
  <c r="BK128" i="7"/>
  <c r="BG128" i="7"/>
  <c r="BF128" i="7"/>
  <c r="BE128" i="7"/>
  <c r="BC128" i="7"/>
  <c r="AY128" i="7"/>
  <c r="AU128" i="7"/>
  <c r="AT128" i="7"/>
  <c r="AS128" i="7"/>
  <c r="AQ128" i="7"/>
  <c r="AM128" i="7"/>
  <c r="AL128" i="7"/>
  <c r="AI128" i="7"/>
  <c r="AE128" i="7"/>
  <c r="AA128" i="7"/>
  <c r="Z128" i="7"/>
  <c r="Y128" i="7"/>
  <c r="W128" i="7"/>
  <c r="S128" i="7"/>
  <c r="O128" i="7"/>
  <c r="K128" i="7"/>
  <c r="J128" i="7"/>
  <c r="I128" i="7"/>
  <c r="G128" i="7"/>
  <c r="C128" i="7"/>
  <c r="CC127" i="7"/>
  <c r="CA127" i="7"/>
  <c r="BZ127" i="7"/>
  <c r="BY127" i="7"/>
  <c r="BW127" i="7"/>
  <c r="BV127" i="7"/>
  <c r="BU127" i="7"/>
  <c r="BS127" i="7"/>
  <c r="BR127" i="7"/>
  <c r="BQ127" i="7"/>
  <c r="BO127" i="7"/>
  <c r="BN127" i="7"/>
  <c r="BM127" i="7"/>
  <c r="BK127" i="7"/>
  <c r="BJ127" i="7"/>
  <c r="BI127" i="7"/>
  <c r="BG127" i="7"/>
  <c r="BC127" i="7"/>
  <c r="BB127" i="7"/>
  <c r="BA127" i="7"/>
  <c r="AY127" i="7"/>
  <c r="AX127" i="7"/>
  <c r="AW127" i="7"/>
  <c r="AU127" i="7"/>
  <c r="AT127" i="7"/>
  <c r="AS127" i="7"/>
  <c r="AQ127" i="7"/>
  <c r="AP127" i="7"/>
  <c r="AO127" i="7"/>
  <c r="AM127" i="7"/>
  <c r="AI127" i="7"/>
  <c r="AH127" i="7"/>
  <c r="AG127" i="7"/>
  <c r="AE127" i="7"/>
  <c r="AD127" i="7"/>
  <c r="AC127" i="7"/>
  <c r="AA127" i="7"/>
  <c r="Z127" i="7"/>
  <c r="Y127" i="7"/>
  <c r="W127" i="7"/>
  <c r="V127" i="7"/>
  <c r="U127" i="7"/>
  <c r="S127" i="7"/>
  <c r="R127" i="7"/>
  <c r="Q127" i="7"/>
  <c r="O127" i="7"/>
  <c r="N127" i="7"/>
  <c r="M127" i="7"/>
  <c r="K127" i="7"/>
  <c r="J127" i="7"/>
  <c r="I127" i="7"/>
  <c r="G127" i="7"/>
  <c r="F127" i="7"/>
  <c r="E127" i="7"/>
  <c r="C127" i="7"/>
  <c r="CA126" i="7"/>
  <c r="BZ126" i="7"/>
  <c r="BY126" i="7"/>
  <c r="BW126" i="7"/>
  <c r="BS126" i="7"/>
  <c r="BO126" i="7"/>
  <c r="BN126" i="7"/>
  <c r="BM126" i="7"/>
  <c r="BK126" i="7"/>
  <c r="BJ126" i="7"/>
  <c r="BG126" i="7"/>
  <c r="BE126" i="7"/>
  <c r="BC126" i="7"/>
  <c r="BB126" i="7"/>
  <c r="AY126" i="7"/>
  <c r="AU126" i="7"/>
  <c r="AQ126" i="7"/>
  <c r="AM126" i="7"/>
  <c r="AI126" i="7"/>
  <c r="AE126" i="7"/>
  <c r="AA126" i="7"/>
  <c r="Z126" i="7"/>
  <c r="Y126" i="7"/>
  <c r="W126" i="7"/>
  <c r="S126" i="7"/>
  <c r="R126" i="7"/>
  <c r="Q126" i="7"/>
  <c r="O126" i="7"/>
  <c r="N126" i="7"/>
  <c r="M126" i="7"/>
  <c r="K126" i="7"/>
  <c r="J126" i="7"/>
  <c r="I126" i="7"/>
  <c r="G126" i="7"/>
  <c r="C126" i="7"/>
  <c r="BZ125" i="7"/>
  <c r="BY125" i="7"/>
  <c r="BW125" i="7"/>
  <c r="BN125" i="7"/>
  <c r="BM125" i="7"/>
  <c r="BK125" i="7"/>
  <c r="BJ125" i="7"/>
  <c r="BC125" i="7"/>
  <c r="BC87" i="7" s="1"/>
  <c r="BB125" i="7"/>
  <c r="Z125" i="7"/>
  <c r="Z87" i="7" s="1"/>
  <c r="Y125" i="7"/>
  <c r="W125" i="7"/>
  <c r="W87" i="7" s="1"/>
  <c r="R125" i="7"/>
  <c r="Q125" i="7"/>
  <c r="O125" i="7"/>
  <c r="N125" i="7"/>
  <c r="N87" i="7" s="1"/>
  <c r="M125" i="7"/>
  <c r="K125" i="7"/>
  <c r="J125" i="7"/>
  <c r="I125" i="7"/>
  <c r="G125" i="7"/>
  <c r="CC124" i="7"/>
  <c r="CA124" i="7"/>
  <c r="BZ124" i="7"/>
  <c r="BY124" i="7"/>
  <c r="BW124" i="7"/>
  <c r="BV124" i="7"/>
  <c r="BU124" i="7"/>
  <c r="BS124" i="7"/>
  <c r="BR124" i="7"/>
  <c r="BQ124" i="7"/>
  <c r="BO124" i="7"/>
  <c r="BK124" i="7"/>
  <c r="BJ124" i="7"/>
  <c r="BI124" i="7"/>
  <c r="BG124" i="7"/>
  <c r="BF124" i="7"/>
  <c r="BC124" i="7"/>
  <c r="BB124" i="7"/>
  <c r="AY124" i="7"/>
  <c r="AX124" i="7"/>
  <c r="AU124" i="7"/>
  <c r="AT124" i="7"/>
  <c r="AS124" i="7"/>
  <c r="AQ124" i="7"/>
  <c r="AP124" i="7"/>
  <c r="AO124" i="7"/>
  <c r="AM124" i="7"/>
  <c r="AL124" i="7"/>
  <c r="AI124" i="7"/>
  <c r="AG124" i="7"/>
  <c r="AE124" i="7"/>
  <c r="AD124" i="7"/>
  <c r="AA124" i="7"/>
  <c r="Z124" i="7"/>
  <c r="Y124" i="7"/>
  <c r="W124" i="7"/>
  <c r="V124" i="7"/>
  <c r="U124" i="7"/>
  <c r="S124" i="7"/>
  <c r="Q124" i="7"/>
  <c r="O124" i="7"/>
  <c r="N124" i="7"/>
  <c r="M124" i="7"/>
  <c r="K124" i="7"/>
  <c r="J124" i="7"/>
  <c r="I124" i="7"/>
  <c r="G124" i="7"/>
  <c r="F124" i="7"/>
  <c r="E124" i="7"/>
  <c r="C124" i="7"/>
  <c r="CC123" i="7"/>
  <c r="CA123" i="7"/>
  <c r="BZ123" i="7"/>
  <c r="BY123" i="7"/>
  <c r="BW123" i="7"/>
  <c r="BV123" i="7"/>
  <c r="BU123" i="7"/>
  <c r="BS123" i="7"/>
  <c r="BR123" i="7"/>
  <c r="BQ123" i="7"/>
  <c r="BO123" i="7"/>
  <c r="BJ123" i="7"/>
  <c r="BI123" i="7"/>
  <c r="BG123" i="7"/>
  <c r="BF123" i="7"/>
  <c r="BB123" i="7"/>
  <c r="AX123" i="7"/>
  <c r="AT123" i="7"/>
  <c r="AS123" i="7"/>
  <c r="AQ123" i="7"/>
  <c r="AP123" i="7"/>
  <c r="AO123" i="7"/>
  <c r="AM123" i="7"/>
  <c r="AL123" i="7"/>
  <c r="AE123" i="7"/>
  <c r="AD123" i="7"/>
  <c r="Z123" i="7"/>
  <c r="Y123" i="7"/>
  <c r="W123" i="7"/>
  <c r="V123" i="7"/>
  <c r="U123" i="7"/>
  <c r="S123" i="7"/>
  <c r="O123" i="7"/>
  <c r="N123" i="7"/>
  <c r="M123" i="7"/>
  <c r="K123" i="7"/>
  <c r="J123" i="7"/>
  <c r="I123" i="7"/>
  <c r="G123" i="7"/>
  <c r="F123" i="7"/>
  <c r="E123" i="7"/>
  <c r="C123" i="7"/>
  <c r="CA122" i="7"/>
  <c r="BZ122" i="7"/>
  <c r="BY122" i="7"/>
  <c r="BW122" i="7"/>
  <c r="BS122" i="7"/>
  <c r="BR122" i="7"/>
  <c r="BQ122" i="7"/>
  <c r="BO122" i="7"/>
  <c r="BK122" i="7"/>
  <c r="BG122" i="7"/>
  <c r="BC122" i="7"/>
  <c r="AY122" i="7"/>
  <c r="AU122" i="7"/>
  <c r="AQ122" i="7"/>
  <c r="AP122" i="7"/>
  <c r="AO122" i="7"/>
  <c r="AM122" i="7"/>
  <c r="AI122" i="7"/>
  <c r="AH122" i="7"/>
  <c r="AG122" i="7"/>
  <c r="AE122" i="7"/>
  <c r="AD122" i="7"/>
  <c r="AC122" i="7"/>
  <c r="AA122" i="7"/>
  <c r="W122" i="7"/>
  <c r="S122" i="7"/>
  <c r="O122" i="7"/>
  <c r="N122" i="7"/>
  <c r="M122" i="7"/>
  <c r="K122" i="7"/>
  <c r="G122" i="7"/>
  <c r="C122" i="7"/>
  <c r="BZ121" i="7"/>
  <c r="BY121" i="7"/>
  <c r="BW121" i="7"/>
  <c r="BR121" i="7"/>
  <c r="BQ121" i="7"/>
  <c r="BO121" i="7"/>
  <c r="BO108" i="7" s="1"/>
  <c r="AP121" i="7"/>
  <c r="AO121" i="7"/>
  <c r="AM121" i="7"/>
  <c r="AM86" i="7" s="1"/>
  <c r="AH121" i="7"/>
  <c r="AG121" i="7"/>
  <c r="AG86" i="7" s="1"/>
  <c r="AE121" i="7"/>
  <c r="AE108" i="7" s="1"/>
  <c r="AD121" i="7"/>
  <c r="AC121" i="7"/>
  <c r="AA121" i="7"/>
  <c r="AA86" i="7" s="1"/>
  <c r="N121" i="7"/>
  <c r="M121" i="7"/>
  <c r="K121" i="7"/>
  <c r="BZ120" i="7"/>
  <c r="BO120" i="7"/>
  <c r="BF120" i="7"/>
  <c r="BB120" i="7"/>
  <c r="AX120" i="7"/>
  <c r="AH120" i="7"/>
  <c r="AG120" i="7"/>
  <c r="AG85" i="7" s="1"/>
  <c r="AE120" i="7"/>
  <c r="S120" i="7"/>
  <c r="N120" i="7"/>
  <c r="M120" i="7"/>
  <c r="K120" i="7"/>
  <c r="F120" i="7"/>
  <c r="E120" i="7"/>
  <c r="C120" i="7"/>
  <c r="CC117" i="7"/>
  <c r="CA117" i="7"/>
  <c r="BZ117" i="7"/>
  <c r="BY117" i="7"/>
  <c r="BW117" i="7"/>
  <c r="BV117" i="7"/>
  <c r="BU117" i="7"/>
  <c r="BS117" i="7"/>
  <c r="BR117" i="7"/>
  <c r="BQ117" i="7"/>
  <c r="BO117" i="7"/>
  <c r="BN117" i="7"/>
  <c r="BM117" i="7"/>
  <c r="BK117" i="7"/>
  <c r="BJ117" i="7"/>
  <c r="BI117" i="7"/>
  <c r="BG117" i="7"/>
  <c r="BF117" i="7"/>
  <c r="BE117" i="7"/>
  <c r="BC117" i="7"/>
  <c r="BB117" i="7"/>
  <c r="BA117" i="7"/>
  <c r="AY117" i="7"/>
  <c r="AX117" i="7"/>
  <c r="AW117" i="7"/>
  <c r="AU117" i="7"/>
  <c r="AT117" i="7"/>
  <c r="AS117" i="7"/>
  <c r="AQ117" i="7"/>
  <c r="AP117" i="7"/>
  <c r="AO117" i="7"/>
  <c r="AM117" i="7"/>
  <c r="AL117" i="7"/>
  <c r="AK117" i="7"/>
  <c r="AI117" i="7"/>
  <c r="AH117" i="7"/>
  <c r="AG117" i="7"/>
  <c r="AE117" i="7"/>
  <c r="AD117" i="7"/>
  <c r="AC117" i="7"/>
  <c r="AA117" i="7"/>
  <c r="Z117" i="7"/>
  <c r="Y117" i="7"/>
  <c r="W117" i="7"/>
  <c r="V117" i="7"/>
  <c r="U117" i="7"/>
  <c r="S117" i="7"/>
  <c r="R117" i="7"/>
  <c r="Q117" i="7"/>
  <c r="O117" i="7"/>
  <c r="N117" i="7"/>
  <c r="M117" i="7"/>
  <c r="K117" i="7"/>
  <c r="J117" i="7"/>
  <c r="I117" i="7"/>
  <c r="G117" i="7"/>
  <c r="F117" i="7"/>
  <c r="E117" i="7"/>
  <c r="C117" i="7"/>
  <c r="CC116" i="7"/>
  <c r="BY116" i="7"/>
  <c r="BU116" i="7"/>
  <c r="BR116" i="7"/>
  <c r="BQ116" i="7"/>
  <c r="BM116" i="7"/>
  <c r="BI116" i="7"/>
  <c r="BE116" i="7"/>
  <c r="BA116" i="7"/>
  <c r="AW116" i="7"/>
  <c r="AS116" i="7"/>
  <c r="AK116" i="7"/>
  <c r="AG116" i="7"/>
  <c r="Y116" i="7"/>
  <c r="U116" i="7"/>
  <c r="Q116" i="7"/>
  <c r="M116" i="7"/>
  <c r="I116" i="7"/>
  <c r="CC115" i="7"/>
  <c r="BY115" i="7"/>
  <c r="BU115" i="7"/>
  <c r="BE115" i="7"/>
  <c r="BA115" i="7"/>
  <c r="AW115" i="7"/>
  <c r="AS115" i="7"/>
  <c r="AK115" i="7"/>
  <c r="AG115" i="7"/>
  <c r="AG107" i="7" s="1"/>
  <c r="Y115" i="7"/>
  <c r="Q115" i="7"/>
  <c r="M115" i="7"/>
  <c r="I115" i="7"/>
  <c r="BQ113" i="7"/>
  <c r="BA113" i="7"/>
  <c r="AO113" i="7"/>
  <c r="Y113" i="7"/>
  <c r="E113" i="7"/>
  <c r="CA112" i="7"/>
  <c r="BW112" i="7"/>
  <c r="BS112" i="7"/>
  <c r="BO112" i="7"/>
  <c r="BK112" i="7"/>
  <c r="BG112" i="7"/>
  <c r="BC112" i="7"/>
  <c r="AY112" i="7"/>
  <c r="AU112" i="7"/>
  <c r="AQ112" i="7"/>
  <c r="AM112" i="7"/>
  <c r="AI112" i="7"/>
  <c r="AE112" i="7"/>
  <c r="AA112" i="7"/>
  <c r="W112" i="7"/>
  <c r="S112" i="7"/>
  <c r="O112" i="7"/>
  <c r="K112" i="7"/>
  <c r="G112" i="7"/>
  <c r="C112" i="7"/>
  <c r="CA109" i="7"/>
  <c r="BW109" i="7"/>
  <c r="BS109" i="7"/>
  <c r="BO109" i="7"/>
  <c r="BK109" i="7"/>
  <c r="BG109" i="7"/>
  <c r="BC109" i="7"/>
  <c r="AY109" i="7"/>
  <c r="AU109" i="7"/>
  <c r="AQ109" i="7"/>
  <c r="AM109" i="7"/>
  <c r="AI109" i="7"/>
  <c r="AE109" i="7"/>
  <c r="AA109" i="7"/>
  <c r="W109" i="7"/>
  <c r="S109" i="7"/>
  <c r="O109" i="7"/>
  <c r="K109" i="7"/>
  <c r="G109" i="7"/>
  <c r="C109" i="7"/>
  <c r="BY108" i="7"/>
  <c r="BR108" i="7"/>
  <c r="AM108" i="7"/>
  <c r="AH108" i="7"/>
  <c r="AG108" i="7"/>
  <c r="AA108" i="7"/>
  <c r="N108" i="7"/>
  <c r="M108" i="7"/>
  <c r="K108" i="7"/>
  <c r="BY107" i="7"/>
  <c r="M107" i="7"/>
  <c r="CA106" i="7"/>
  <c r="BZ106" i="7"/>
  <c r="BY106" i="7"/>
  <c r="BW106" i="7"/>
  <c r="BS106" i="7"/>
  <c r="BR106" i="7"/>
  <c r="BQ106" i="7"/>
  <c r="BO106" i="7"/>
  <c r="BK106" i="7"/>
  <c r="BG106" i="7"/>
  <c r="BC106" i="7"/>
  <c r="AY106" i="7"/>
  <c r="AU106" i="7"/>
  <c r="AQ106" i="7"/>
  <c r="AP106" i="7"/>
  <c r="AO106" i="7"/>
  <c r="AM106" i="7"/>
  <c r="AI106" i="7"/>
  <c r="AH106" i="7"/>
  <c r="AG106" i="7"/>
  <c r="AE106" i="7"/>
  <c r="AD106" i="7"/>
  <c r="AC106" i="7"/>
  <c r="AA106" i="7"/>
  <c r="W106" i="7"/>
  <c r="S106" i="7"/>
  <c r="O106" i="7"/>
  <c r="N106" i="7"/>
  <c r="M106" i="7"/>
  <c r="K106" i="7"/>
  <c r="G106" i="7"/>
  <c r="C106" i="7"/>
  <c r="CA105" i="7"/>
  <c r="BW105" i="7"/>
  <c r="BS105" i="7"/>
  <c r="BO105" i="7"/>
  <c r="BK105" i="7"/>
  <c r="BG105" i="7"/>
  <c r="BC105" i="7"/>
  <c r="AY105" i="7"/>
  <c r="AU105" i="7"/>
  <c r="AQ105" i="7"/>
  <c r="AM105" i="7"/>
  <c r="AI105" i="7"/>
  <c r="AG105" i="7"/>
  <c r="AE105" i="7"/>
  <c r="AA105" i="7"/>
  <c r="W105" i="7"/>
  <c r="S105" i="7"/>
  <c r="O105" i="7"/>
  <c r="K105" i="7"/>
  <c r="G105" i="7"/>
  <c r="C105" i="7"/>
  <c r="CA104" i="7"/>
  <c r="BW104" i="7"/>
  <c r="BS104" i="7"/>
  <c r="BO104" i="7"/>
  <c r="BK104" i="7"/>
  <c r="BG104" i="7"/>
  <c r="BC104" i="7"/>
  <c r="AY104" i="7"/>
  <c r="AU104" i="7"/>
  <c r="AQ104" i="7"/>
  <c r="AM104" i="7"/>
  <c r="AI104" i="7"/>
  <c r="AE104" i="7"/>
  <c r="AA104" i="7"/>
  <c r="W104" i="7"/>
  <c r="S104" i="7"/>
  <c r="O104" i="7"/>
  <c r="N104" i="7"/>
  <c r="M104" i="7"/>
  <c r="K104" i="7"/>
  <c r="G104" i="7"/>
  <c r="C104" i="7"/>
  <c r="BQ101" i="7"/>
  <c r="BA101" i="7"/>
  <c r="AO101" i="7"/>
  <c r="Y101" i="7"/>
  <c r="E101" i="7"/>
  <c r="BY100" i="7"/>
  <c r="BR100" i="7"/>
  <c r="BQ100" i="7"/>
  <c r="AO100" i="7"/>
  <c r="AG100" i="7"/>
  <c r="AC100" i="7"/>
  <c r="M100" i="7"/>
  <c r="BQ97" i="7"/>
  <c r="AG97" i="7"/>
  <c r="M97" i="7"/>
  <c r="CA96" i="7"/>
  <c r="BW96" i="7"/>
  <c r="BS96" i="7"/>
  <c r="BO96" i="7"/>
  <c r="BK96" i="7"/>
  <c r="BG96" i="7"/>
  <c r="BC96" i="7"/>
  <c r="BB96" i="7"/>
  <c r="AY96" i="7"/>
  <c r="AU96" i="7"/>
  <c r="AQ96" i="7"/>
  <c r="AM96" i="7"/>
  <c r="AI96" i="7"/>
  <c r="AE96" i="7"/>
  <c r="AA96" i="7"/>
  <c r="Z96" i="7"/>
  <c r="Y96" i="7"/>
  <c r="W96" i="7"/>
  <c r="S96" i="7"/>
  <c r="O96" i="7"/>
  <c r="K96" i="7"/>
  <c r="G96" i="7"/>
  <c r="C96" i="7"/>
  <c r="BY95" i="7"/>
  <c r="BR95" i="7"/>
  <c r="BQ95" i="7"/>
  <c r="AO95" i="7"/>
  <c r="AG95" i="7"/>
  <c r="AC95" i="7"/>
  <c r="M95" i="7"/>
  <c r="CA94" i="7"/>
  <c r="BW94" i="7"/>
  <c r="BS94" i="7"/>
  <c r="BO94" i="7"/>
  <c r="BK94" i="7"/>
  <c r="BG94" i="7"/>
  <c r="BC94" i="7"/>
  <c r="AY94" i="7"/>
  <c r="AU94" i="7"/>
  <c r="AQ94" i="7"/>
  <c r="AM94" i="7"/>
  <c r="AI94" i="7"/>
  <c r="AE94" i="7"/>
  <c r="AA94" i="7"/>
  <c r="Z94" i="7"/>
  <c r="Y94" i="7"/>
  <c r="W94" i="7"/>
  <c r="S94" i="7"/>
  <c r="O94" i="7"/>
  <c r="K94" i="7"/>
  <c r="G94" i="7"/>
  <c r="C94" i="7"/>
  <c r="CA91" i="7"/>
  <c r="BW91" i="7"/>
  <c r="BS91" i="7"/>
  <c r="BO91" i="7"/>
  <c r="BK91" i="7"/>
  <c r="BG91" i="7"/>
  <c r="BC91" i="7"/>
  <c r="AY91" i="7"/>
  <c r="AU91" i="7"/>
  <c r="AQ91" i="7"/>
  <c r="AM91" i="7"/>
  <c r="AI91" i="7"/>
  <c r="AE91" i="7"/>
  <c r="AA91" i="7"/>
  <c r="W91" i="7"/>
  <c r="S91" i="7"/>
  <c r="O91" i="7"/>
  <c r="K91" i="7"/>
  <c r="G91" i="7"/>
  <c r="C91" i="7"/>
  <c r="CA90" i="7"/>
  <c r="BW90" i="7"/>
  <c r="BS90" i="7"/>
  <c r="BO90" i="7"/>
  <c r="BK90" i="7"/>
  <c r="BG90" i="7"/>
  <c r="BC90" i="7"/>
  <c r="AY90" i="7"/>
  <c r="AU90" i="7"/>
  <c r="AQ90" i="7"/>
  <c r="AM90" i="7"/>
  <c r="AI90" i="7"/>
  <c r="AE90" i="7"/>
  <c r="AA90" i="7"/>
  <c r="W90" i="7"/>
  <c r="S90" i="7"/>
  <c r="O90" i="7"/>
  <c r="K90" i="7"/>
  <c r="G90" i="7"/>
  <c r="C90" i="7"/>
  <c r="CA88" i="7"/>
  <c r="BW88" i="7"/>
  <c r="BS88" i="7"/>
  <c r="BO88" i="7"/>
  <c r="BK88" i="7"/>
  <c r="BG88" i="7"/>
  <c r="BC88" i="7"/>
  <c r="AY88" i="7"/>
  <c r="AU88" i="7"/>
  <c r="AQ88" i="7"/>
  <c r="AM88" i="7"/>
  <c r="AI88" i="7"/>
  <c r="AE88" i="7"/>
  <c r="AA88" i="7"/>
  <c r="W88" i="7"/>
  <c r="S88" i="7"/>
  <c r="O88" i="7"/>
  <c r="K88" i="7"/>
  <c r="G88" i="7"/>
  <c r="C88" i="7"/>
  <c r="BZ87" i="7"/>
  <c r="BY87" i="7"/>
  <c r="BW87" i="7"/>
  <c r="BN87" i="7"/>
  <c r="BM87" i="7"/>
  <c r="BK87" i="7"/>
  <c r="BB87" i="7"/>
  <c r="Y87" i="7"/>
  <c r="O87" i="7"/>
  <c r="K87" i="7"/>
  <c r="J87" i="7"/>
  <c r="I87" i="7"/>
  <c r="G87" i="7"/>
  <c r="CC86" i="7"/>
  <c r="BY86" i="7"/>
  <c r="BR86" i="7"/>
  <c r="BO86" i="7"/>
  <c r="AO86" i="7"/>
  <c r="AH86" i="7"/>
  <c r="AE86" i="7"/>
  <c r="AC86" i="7"/>
  <c r="K86" i="7"/>
  <c r="E85" i="7"/>
  <c r="CC57" i="7"/>
  <c r="AT57" i="7"/>
  <c r="AS57" i="7"/>
  <c r="N56" i="7"/>
  <c r="M56" i="7"/>
  <c r="BN55" i="7"/>
  <c r="BM55" i="7"/>
  <c r="BJ55" i="7"/>
  <c r="BI55" i="7"/>
  <c r="AT55" i="7"/>
  <c r="AS55" i="7"/>
  <c r="V55" i="7"/>
  <c r="U55" i="7"/>
  <c r="R55" i="7"/>
  <c r="Q55" i="7"/>
  <c r="BN54" i="7"/>
  <c r="BM54" i="7"/>
  <c r="AL54" i="7"/>
  <c r="AK54" i="7"/>
  <c r="CC52" i="7"/>
  <c r="BY52" i="7"/>
  <c r="BU52" i="7"/>
  <c r="BE52" i="7"/>
  <c r="BA52" i="7"/>
  <c r="AW52" i="7"/>
  <c r="AS52" i="7"/>
  <c r="AK52" i="7"/>
  <c r="AG52" i="7"/>
  <c r="Y52" i="7"/>
  <c r="Q52" i="7"/>
  <c r="M52" i="7"/>
  <c r="I52" i="7"/>
  <c r="BZ51" i="7"/>
  <c r="BY51" i="7"/>
  <c r="BV51" i="7"/>
  <c r="BU51" i="7"/>
  <c r="BR51" i="7"/>
  <c r="BQ51" i="7"/>
  <c r="BB51" i="7"/>
  <c r="BB46" i="7" s="1"/>
  <c r="BA51" i="7"/>
  <c r="AP51" i="7"/>
  <c r="AO51" i="7"/>
  <c r="AL51" i="7"/>
  <c r="AK51" i="7"/>
  <c r="AH51" i="7"/>
  <c r="AG51" i="7"/>
  <c r="V51" i="7"/>
  <c r="R51" i="7"/>
  <c r="Q51" i="7"/>
  <c r="M51" i="7"/>
  <c r="BN49" i="7"/>
  <c r="BJ49" i="7"/>
  <c r="BI49" i="7"/>
  <c r="BI51" i="7" s="1"/>
  <c r="AD49" i="7"/>
  <c r="AC49" i="7"/>
  <c r="U49" i="7"/>
  <c r="F49" i="7"/>
  <c r="E49" i="7"/>
  <c r="BN48" i="7"/>
  <c r="BM48" i="7"/>
  <c r="AD48" i="7"/>
  <c r="AC48" i="7"/>
  <c r="U48" i="7"/>
  <c r="M48" i="7"/>
  <c r="F48" i="7"/>
  <c r="F51" i="7" s="1"/>
  <c r="E48" i="7"/>
  <c r="E51" i="7" s="1"/>
  <c r="CD46" i="7"/>
  <c r="CC46" i="7"/>
  <c r="BZ46" i="7"/>
  <c r="BY46" i="7"/>
  <c r="BV46" i="7"/>
  <c r="BU46" i="7"/>
  <c r="BR46" i="7"/>
  <c r="BQ46" i="7"/>
  <c r="BN46" i="7"/>
  <c r="BM46" i="7"/>
  <c r="BI46" i="7"/>
  <c r="BA46" i="7"/>
  <c r="AX46" i="7"/>
  <c r="AW46" i="7"/>
  <c r="AP46" i="7"/>
  <c r="AP105" i="7" s="1"/>
  <c r="AO46" i="7"/>
  <c r="AK46" i="7"/>
  <c r="AH46" i="7"/>
  <c r="AG46" i="7"/>
  <c r="AD46" i="7"/>
  <c r="AC46" i="7"/>
  <c r="V46" i="7"/>
  <c r="U46" i="7"/>
  <c r="R46" i="7"/>
  <c r="Q46" i="7"/>
  <c r="N46" i="7"/>
  <c r="N51" i="7" s="1"/>
  <c r="N48" i="7" s="1"/>
  <c r="M46" i="7"/>
  <c r="F46" i="7"/>
  <c r="E46" i="7"/>
  <c r="BF45" i="7"/>
  <c r="BE45" i="7"/>
  <c r="AL45" i="7"/>
  <c r="AK45" i="7"/>
  <c r="BJ44" i="7"/>
  <c r="BJ46" i="7" s="1"/>
  <c r="CD42" i="7"/>
  <c r="CC42" i="7"/>
  <c r="BZ42" i="7"/>
  <c r="BZ104" i="7" s="1"/>
  <c r="BY42" i="7"/>
  <c r="BV42" i="7"/>
  <c r="BU42" i="7"/>
  <c r="BU104" i="7" s="1"/>
  <c r="BR42" i="7"/>
  <c r="BQ42" i="7"/>
  <c r="BQ104" i="7" s="1"/>
  <c r="BN42" i="7"/>
  <c r="BM42" i="7"/>
  <c r="BJ42" i="7"/>
  <c r="BI42" i="7"/>
  <c r="BF42" i="7"/>
  <c r="BF104" i="7" s="1"/>
  <c r="BE42" i="7"/>
  <c r="BB42" i="7"/>
  <c r="BB104" i="7" s="1"/>
  <c r="BA42" i="7"/>
  <c r="AX42" i="7"/>
  <c r="AX104" i="7" s="1"/>
  <c r="AW42" i="7"/>
  <c r="AW104" i="7" s="1"/>
  <c r="AP42" i="7"/>
  <c r="AO42" i="7"/>
  <c r="AO104" i="7" s="1"/>
  <c r="AH42" i="7"/>
  <c r="AH104" i="7" s="1"/>
  <c r="AG42" i="7"/>
  <c r="AG104" i="7" s="1"/>
  <c r="V42" i="7"/>
  <c r="U42" i="7"/>
  <c r="U104" i="7" s="1"/>
  <c r="R42" i="7"/>
  <c r="R104" i="7" s="1"/>
  <c r="Q42" i="7"/>
  <c r="J42" i="7"/>
  <c r="I42" i="7"/>
  <c r="F42" i="7"/>
  <c r="F104" i="7" s="1"/>
  <c r="E42" i="7"/>
  <c r="E104" i="7" s="1"/>
  <c r="AD40" i="7"/>
  <c r="AD42" i="7" s="1"/>
  <c r="AC40" i="7"/>
  <c r="AC42" i="7" s="1"/>
  <c r="CD37" i="7"/>
  <c r="BZ37" i="7"/>
  <c r="BZ96" i="7" s="1"/>
  <c r="BU37" i="7"/>
  <c r="BQ37" i="7"/>
  <c r="BF37" i="7"/>
  <c r="BB37" i="7"/>
  <c r="BB94" i="7" s="1"/>
  <c r="AX37" i="7"/>
  <c r="AO37" i="7"/>
  <c r="AO34" i="7" s="1"/>
  <c r="AH37" i="7"/>
  <c r="AH94" i="7" s="1"/>
  <c r="AG37" i="7"/>
  <c r="U37" i="7"/>
  <c r="N37" i="7"/>
  <c r="M37" i="7"/>
  <c r="F37" i="7"/>
  <c r="E37" i="7"/>
  <c r="BN36" i="7"/>
  <c r="BN124" i="7" s="1"/>
  <c r="BM36" i="7"/>
  <c r="BE36" i="7"/>
  <c r="BA36" i="7"/>
  <c r="AW36" i="7"/>
  <c r="AW124" i="7" s="1"/>
  <c r="AK36" i="7"/>
  <c r="AH36" i="7"/>
  <c r="AC36" i="7"/>
  <c r="R36" i="7"/>
  <c r="R124" i="7" s="1"/>
  <c r="BZ35" i="7"/>
  <c r="BB35" i="7"/>
  <c r="N35" i="7"/>
  <c r="CD34" i="7"/>
  <c r="CC34" i="7"/>
  <c r="BV34" i="7"/>
  <c r="BU34" i="7"/>
  <c r="BU35" i="7" s="1"/>
  <c r="BR34" i="7"/>
  <c r="BQ34" i="7"/>
  <c r="BI34" i="7"/>
  <c r="BF34" i="7"/>
  <c r="BA34" i="7"/>
  <c r="AX34" i="7"/>
  <c r="AW34" i="7"/>
  <c r="AT34" i="7"/>
  <c r="AS34" i="7"/>
  <c r="AL34" i="7"/>
  <c r="AK34" i="7"/>
  <c r="AH34" i="7"/>
  <c r="AG34" i="7"/>
  <c r="AD34" i="7"/>
  <c r="AC34" i="7"/>
  <c r="V34" i="7"/>
  <c r="U34" i="7"/>
  <c r="E34" i="7"/>
  <c r="CD33" i="7"/>
  <c r="CC33" i="7"/>
  <c r="BU33" i="7"/>
  <c r="BR33" i="7"/>
  <c r="BQ33" i="7"/>
  <c r="BF33" i="7"/>
  <c r="BA33" i="7"/>
  <c r="AT33" i="7"/>
  <c r="AS33" i="7"/>
  <c r="AL33" i="7"/>
  <c r="AK33" i="7"/>
  <c r="AH33" i="7"/>
  <c r="AG33" i="7"/>
  <c r="AD33" i="7"/>
  <c r="AC33" i="7"/>
  <c r="V33" i="7"/>
  <c r="U33" i="7"/>
  <c r="F33" i="7"/>
  <c r="E33" i="7"/>
  <c r="CC30" i="7"/>
  <c r="CC37" i="7" s="1"/>
  <c r="BY30" i="7"/>
  <c r="BY29" i="7" s="1"/>
  <c r="BV30" i="7"/>
  <c r="BU30" i="7"/>
  <c r="BR30" i="7"/>
  <c r="BN30" i="7"/>
  <c r="BM30" i="7"/>
  <c r="BJ30" i="7"/>
  <c r="BJ120" i="7" s="1"/>
  <c r="BI30" i="7"/>
  <c r="BI37" i="7" s="1"/>
  <c r="BE30" i="7"/>
  <c r="BA30" i="7"/>
  <c r="BA37" i="7" s="1"/>
  <c r="AW30" i="7"/>
  <c r="AU120" i="7" s="1"/>
  <c r="AT30" i="7"/>
  <c r="AS30" i="7"/>
  <c r="AS37" i="7" s="1"/>
  <c r="AP30" i="7"/>
  <c r="AP37" i="7" s="1"/>
  <c r="AO30" i="7"/>
  <c r="AL30" i="7"/>
  <c r="AK30" i="7"/>
  <c r="AD30" i="7"/>
  <c r="AC30" i="7"/>
  <c r="AC37" i="7" s="1"/>
  <c r="AC94" i="7" s="1"/>
  <c r="Z30" i="7"/>
  <c r="Y30" i="7"/>
  <c r="V30" i="7"/>
  <c r="V29" i="7" s="1"/>
  <c r="R30" i="7"/>
  <c r="R120" i="7" s="1"/>
  <c r="Q30" i="7"/>
  <c r="Q37" i="7" s="1"/>
  <c r="J30" i="7"/>
  <c r="I30" i="7"/>
  <c r="CD29" i="7"/>
  <c r="CC29" i="7"/>
  <c r="BZ29" i="7"/>
  <c r="BR29" i="7"/>
  <c r="BQ29" i="7"/>
  <c r="BM29" i="7"/>
  <c r="BB29" i="7"/>
  <c r="AT29" i="7"/>
  <c r="AO29" i="7"/>
  <c r="AK29" i="7"/>
  <c r="AH29" i="7"/>
  <c r="AG29" i="7"/>
  <c r="AC29" i="7"/>
  <c r="U29" i="7"/>
  <c r="N29" i="7"/>
  <c r="M29" i="7"/>
  <c r="CC28" i="7"/>
  <c r="CC121" i="7" s="1"/>
  <c r="CC108" i="7" s="1"/>
  <c r="BV28" i="7"/>
  <c r="BU28" i="7"/>
  <c r="BU29" i="7" s="1"/>
  <c r="BN28" i="7"/>
  <c r="BM28" i="7"/>
  <c r="BJ28" i="7"/>
  <c r="BJ29" i="7" s="1"/>
  <c r="BI28" i="7"/>
  <c r="BF28" i="7"/>
  <c r="BE28" i="7"/>
  <c r="BB28" i="7"/>
  <c r="BA28" i="7"/>
  <c r="AX28" i="7"/>
  <c r="AW28" i="7"/>
  <c r="AW29" i="7" s="1"/>
  <c r="AT28" i="7"/>
  <c r="AS28" i="7"/>
  <c r="AL28" i="7"/>
  <c r="AK28" i="7"/>
  <c r="Z28" i="7"/>
  <c r="Y28" i="7"/>
  <c r="V28" i="7"/>
  <c r="U28" i="7"/>
  <c r="U97" i="7" s="1"/>
  <c r="R28" i="7"/>
  <c r="Q28" i="7"/>
  <c r="J28" i="7"/>
  <c r="I28" i="7"/>
  <c r="F28" i="7"/>
  <c r="F29" i="7" s="1"/>
  <c r="E28" i="7"/>
  <c r="E29" i="7" s="1"/>
  <c r="Z21" i="7"/>
  <c r="Z24" i="7" s="1"/>
  <c r="BZ19" i="7"/>
  <c r="BZ18" i="7" s="1"/>
  <c r="BY19" i="7"/>
  <c r="BY18" i="7" s="1"/>
  <c r="BV19" i="7"/>
  <c r="BV18" i="7" s="1"/>
  <c r="BR19" i="7"/>
  <c r="BM19" i="7"/>
  <c r="BB19" i="7"/>
  <c r="BB18" i="7" s="1"/>
  <c r="BA19" i="7"/>
  <c r="AW19" i="7"/>
  <c r="AW18" i="7" s="1"/>
  <c r="AP19" i="7"/>
  <c r="AO19" i="7"/>
  <c r="AH19" i="7"/>
  <c r="AH18" i="7" s="1"/>
  <c r="AG19" i="7"/>
  <c r="AG18" i="7" s="1"/>
  <c r="AD19" i="7"/>
  <c r="AC19" i="7"/>
  <c r="Z19" i="7"/>
  <c r="Z18" i="7" s="1"/>
  <c r="Y19" i="7"/>
  <c r="Y18" i="7" s="1"/>
  <c r="V19" i="7"/>
  <c r="U19" i="7"/>
  <c r="U18" i="7" s="1"/>
  <c r="R19" i="7"/>
  <c r="R18" i="7" s="1"/>
  <c r="Q19" i="7"/>
  <c r="N19" i="7"/>
  <c r="N18" i="7" s="1"/>
  <c r="I19" i="7"/>
  <c r="F19" i="7"/>
  <c r="E19" i="7"/>
  <c r="BN18" i="7"/>
  <c r="BA18" i="7"/>
  <c r="AD18" i="7"/>
  <c r="Q18" i="7"/>
  <c r="J18" i="7"/>
  <c r="I18" i="7"/>
  <c r="AP17" i="7"/>
  <c r="AO17" i="7"/>
  <c r="AO116" i="7" s="1"/>
  <c r="AO108" i="7" s="1"/>
  <c r="AC17" i="7"/>
  <c r="F17" i="7"/>
  <c r="F18" i="7" s="1"/>
  <c r="E17" i="7"/>
  <c r="E116" i="7" s="1"/>
  <c r="BR16" i="7"/>
  <c r="BR18" i="7" s="1"/>
  <c r="BQ16" i="7"/>
  <c r="BQ18" i="7" s="1"/>
  <c r="BM16" i="7"/>
  <c r="BI16" i="7"/>
  <c r="AP16" i="7"/>
  <c r="AO16" i="7"/>
  <c r="AD16" i="7"/>
  <c r="AC16" i="7"/>
  <c r="V16" i="7"/>
  <c r="U16" i="7"/>
  <c r="U52" i="7" s="1"/>
  <c r="F16" i="7"/>
  <c r="E16" i="7"/>
  <c r="CD14" i="7"/>
  <c r="CC14" i="7"/>
  <c r="BZ14" i="7"/>
  <c r="BY14" i="7"/>
  <c r="BV14" i="7"/>
  <c r="BU14" i="7"/>
  <c r="BR14" i="7"/>
  <c r="BR113" i="7" s="1"/>
  <c r="BN14" i="7"/>
  <c r="BN13" i="7" s="1"/>
  <c r="BF14" i="7"/>
  <c r="BE14" i="7"/>
  <c r="AX14" i="7"/>
  <c r="AW14" i="7"/>
  <c r="AW113" i="7" s="1"/>
  <c r="AH14" i="7"/>
  <c r="AH88" i="7" s="1"/>
  <c r="AG14" i="7"/>
  <c r="AD14" i="7"/>
  <c r="AD88" i="7" s="1"/>
  <c r="AC14" i="7"/>
  <c r="AC113" i="7" s="1"/>
  <c r="V14" i="7"/>
  <c r="U14" i="7"/>
  <c r="R14" i="7"/>
  <c r="R13" i="7" s="1"/>
  <c r="J14" i="7"/>
  <c r="I14" i="7"/>
  <c r="I113" i="7" s="1"/>
  <c r="CD13" i="7"/>
  <c r="CC13" i="7"/>
  <c r="BZ13" i="7"/>
  <c r="BV13" i="7"/>
  <c r="BB13" i="7"/>
  <c r="BA13" i="7"/>
  <c r="V13" i="7"/>
  <c r="F13" i="7"/>
  <c r="E13" i="7"/>
  <c r="BR12" i="7"/>
  <c r="BR13" i="7" s="1"/>
  <c r="BQ12" i="7"/>
  <c r="BQ13" i="7" s="1"/>
  <c r="BN12" i="7"/>
  <c r="BM12" i="7"/>
  <c r="AP12" i="7"/>
  <c r="AP13" i="7" s="1"/>
  <c r="AO12" i="7"/>
  <c r="AO13" i="7" s="1"/>
  <c r="AD11" i="7"/>
  <c r="AC11" i="7"/>
  <c r="AC13" i="7" s="1"/>
  <c r="BZ9" i="7"/>
  <c r="BY9" i="7"/>
  <c r="BY112" i="7" s="1"/>
  <c r="BV9" i="7"/>
  <c r="BR9" i="7"/>
  <c r="BR112" i="7" s="1"/>
  <c r="BQ9" i="7"/>
  <c r="BQ112" i="7" s="1"/>
  <c r="BB9" i="7"/>
  <c r="BA9" i="7"/>
  <c r="BA21" i="7" s="1"/>
  <c r="BA24" i="7" s="1"/>
  <c r="AP9" i="7"/>
  <c r="AO9" i="7"/>
  <c r="AO88" i="7" s="1"/>
  <c r="AH9" i="7"/>
  <c r="AG9" i="7"/>
  <c r="AD9" i="7"/>
  <c r="AD112" i="7" s="1"/>
  <c r="AC9" i="7"/>
  <c r="AC112" i="7" s="1"/>
  <c r="Z9" i="7"/>
  <c r="Y9" i="7"/>
  <c r="Y88" i="7" s="1"/>
  <c r="V9" i="7"/>
  <c r="V112" i="7" s="1"/>
  <c r="U9" i="7"/>
  <c r="U112" i="7" s="1"/>
  <c r="J9" i="7"/>
  <c r="I9" i="7"/>
  <c r="F9" i="7"/>
  <c r="E9" i="7"/>
  <c r="CD8" i="7"/>
  <c r="CD9" i="7" s="1"/>
  <c r="CC8" i="7"/>
  <c r="BU8" i="7"/>
  <c r="BJ8" i="7"/>
  <c r="BJ87" i="7" s="1"/>
  <c r="BI8" i="7"/>
  <c r="BI19" i="7" s="1"/>
  <c r="BF8" i="7"/>
  <c r="BF19" i="7" s="1"/>
  <c r="BF18" i="7" s="1"/>
  <c r="BE8" i="7"/>
  <c r="BE19" i="7" s="1"/>
  <c r="BE18" i="7" s="1"/>
  <c r="AX8" i="7"/>
  <c r="AW8" i="7"/>
  <c r="AT8" i="7"/>
  <c r="AT19" i="7" s="1"/>
  <c r="AT18" i="7" s="1"/>
  <c r="AS8" i="7"/>
  <c r="AS19" i="7" s="1"/>
  <c r="AS18" i="7" s="1"/>
  <c r="AL8" i="7"/>
  <c r="AK8" i="7"/>
  <c r="R8" i="7"/>
  <c r="R87" i="7" s="1"/>
  <c r="Q8" i="7"/>
  <c r="M8" i="7"/>
  <c r="M19" i="7" s="1"/>
  <c r="M18" i="7" s="1"/>
  <c r="BN7" i="7"/>
  <c r="BM7" i="7"/>
  <c r="BJ7" i="7"/>
  <c r="BI7" i="7"/>
  <c r="BF7" i="7"/>
  <c r="BE7" i="7"/>
  <c r="BE9" i="7" s="1"/>
  <c r="AX7" i="7"/>
  <c r="AW7" i="7"/>
  <c r="AW9" i="7" s="1"/>
  <c r="AT7" i="7"/>
  <c r="AT14" i="7" s="1"/>
  <c r="AS7" i="7"/>
  <c r="AS14" i="7" s="1"/>
  <c r="AL7" i="7"/>
  <c r="AK7" i="7"/>
  <c r="R7" i="7"/>
  <c r="Q7" i="7"/>
  <c r="Q14" i="7" s="1"/>
  <c r="Q13" i="7" s="1"/>
  <c r="N7" i="7"/>
  <c r="N9" i="7" s="1"/>
  <c r="M7" i="7"/>
  <c r="M86" i="7" s="1"/>
  <c r="CD5" i="7"/>
  <c r="CC5" i="7"/>
  <c r="CB5" i="7"/>
  <c r="CA5" i="7"/>
  <c r="BZ5" i="7"/>
  <c r="BY5" i="7"/>
  <c r="BX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HH130" i="6"/>
  <c r="HG130" i="6"/>
  <c r="HF130" i="6"/>
  <c r="HD130" i="6"/>
  <c r="HC130" i="6"/>
  <c r="HB130" i="6"/>
  <c r="GZ130" i="6"/>
  <c r="GU130" i="6"/>
  <c r="GT130" i="6"/>
  <c r="GR130" i="6"/>
  <c r="GI130" i="6"/>
  <c r="GH130" i="6"/>
  <c r="GF130" i="6"/>
  <c r="GE130" i="6"/>
  <c r="GD130" i="6"/>
  <c r="GB130" i="6"/>
  <c r="GA130" i="6"/>
  <c r="FZ130" i="6"/>
  <c r="FX130" i="6"/>
  <c r="FW130" i="6"/>
  <c r="FV130" i="6"/>
  <c r="FT130" i="6"/>
  <c r="FO130" i="6"/>
  <c r="FN130" i="6"/>
  <c r="FL130" i="6"/>
  <c r="FK130" i="6"/>
  <c r="FJ130" i="6"/>
  <c r="FH130" i="6"/>
  <c r="FC130" i="6"/>
  <c r="FB130" i="6"/>
  <c r="EZ130" i="6"/>
  <c r="EY130" i="6"/>
  <c r="EX130" i="6"/>
  <c r="EV130" i="6"/>
  <c r="EQ130" i="6"/>
  <c r="EP130" i="6"/>
  <c r="EN130" i="6"/>
  <c r="DW130" i="6"/>
  <c r="DV130" i="6"/>
  <c r="DT130" i="6"/>
  <c r="DP130" i="6"/>
  <c r="DO130" i="6"/>
  <c r="DM130" i="6"/>
  <c r="DI130" i="6"/>
  <c r="DH130" i="6"/>
  <c r="DF130" i="6"/>
  <c r="DE130" i="6"/>
  <c r="DD130" i="6"/>
  <c r="DB130" i="6"/>
  <c r="CY130" i="6"/>
  <c r="CX130" i="6"/>
  <c r="CV130" i="6"/>
  <c r="CJ130" i="6"/>
  <c r="CI130" i="6"/>
  <c r="CG130" i="6"/>
  <c r="CE130" i="6"/>
  <c r="CD130" i="6"/>
  <c r="CC130" i="6"/>
  <c r="BZ130" i="6"/>
  <c r="BY130" i="6"/>
  <c r="BW130" i="6"/>
  <c r="BQ130" i="6"/>
  <c r="BP130" i="6"/>
  <c r="BO130" i="6"/>
  <c r="BN130" i="6"/>
  <c r="BL130" i="6"/>
  <c r="BC130" i="6"/>
  <c r="BA130" i="6"/>
  <c r="AZ130" i="6"/>
  <c r="AY130" i="6"/>
  <c r="AW130" i="6"/>
  <c r="AU130" i="6"/>
  <c r="AT130" i="6"/>
  <c r="AS130" i="6"/>
  <c r="AR130" i="6"/>
  <c r="AM130" i="6"/>
  <c r="AL130" i="6"/>
  <c r="AI130" i="6"/>
  <c r="AH130" i="6"/>
  <c r="M130" i="6"/>
  <c r="L130" i="6"/>
  <c r="J130" i="6"/>
  <c r="HG129" i="6"/>
  <c r="HF129" i="6"/>
  <c r="HB129" i="6"/>
  <c r="GX129" i="6"/>
  <c r="GT129" i="6"/>
  <c r="GP129" i="6"/>
  <c r="GL129" i="6"/>
  <c r="GH129" i="6"/>
  <c r="GD129" i="6"/>
  <c r="FZ129" i="6"/>
  <c r="FV129" i="6"/>
  <c r="FN129" i="6"/>
  <c r="FJ129" i="6"/>
  <c r="FF129" i="6"/>
  <c r="FB129" i="6"/>
  <c r="EX129" i="6"/>
  <c r="ET129" i="6"/>
  <c r="EP129" i="6"/>
  <c r="EL129" i="6"/>
  <c r="EH129" i="6"/>
  <c r="ED129" i="6"/>
  <c r="DZ129" i="6"/>
  <c r="DV129" i="6"/>
  <c r="DO129" i="6"/>
  <c r="DD129" i="6"/>
  <c r="CX129" i="6"/>
  <c r="CT129" i="6"/>
  <c r="CM129" i="6"/>
  <c r="CI129" i="6"/>
  <c r="CC129" i="6"/>
  <c r="BY129" i="6"/>
  <c r="BU129" i="6"/>
  <c r="BQ129" i="6"/>
  <c r="BP129" i="6"/>
  <c r="BO129" i="6"/>
  <c r="BN129" i="6"/>
  <c r="BJ129" i="6"/>
  <c r="BI129" i="6"/>
  <c r="BC129" i="6"/>
  <c r="AY129" i="6"/>
  <c r="AT129" i="6"/>
  <c r="AS129" i="6"/>
  <c r="AR129" i="6"/>
  <c r="AL129" i="6"/>
  <c r="AH129" i="6"/>
  <c r="AD129" i="6"/>
  <c r="Z129" i="6"/>
  <c r="Y129" i="6"/>
  <c r="X129" i="6"/>
  <c r="W129" i="6"/>
  <c r="S129" i="6"/>
  <c r="R129" i="6"/>
  <c r="Q129" i="6"/>
  <c r="P129" i="6"/>
  <c r="L129" i="6"/>
  <c r="H129" i="6"/>
  <c r="G129" i="6"/>
  <c r="F129" i="6"/>
  <c r="E129" i="6"/>
  <c r="HH128" i="6"/>
  <c r="HG128" i="6"/>
  <c r="HF128" i="6"/>
  <c r="HD128" i="6"/>
  <c r="HC128" i="6"/>
  <c r="HB128" i="6"/>
  <c r="GZ128" i="6"/>
  <c r="GV128" i="6"/>
  <c r="GU128" i="6"/>
  <c r="GT128" i="6"/>
  <c r="GR128" i="6"/>
  <c r="GN128" i="6"/>
  <c r="GJ128" i="6"/>
  <c r="GI128" i="6"/>
  <c r="GH128" i="6"/>
  <c r="GF128" i="6"/>
  <c r="GE128" i="6"/>
  <c r="GD128" i="6"/>
  <c r="GB128" i="6"/>
  <c r="GA128" i="6"/>
  <c r="FZ128" i="6"/>
  <c r="FX128" i="6"/>
  <c r="FW128" i="6"/>
  <c r="FV128" i="6"/>
  <c r="FT128" i="6"/>
  <c r="FP128" i="6"/>
  <c r="FO128" i="6"/>
  <c r="FN128" i="6"/>
  <c r="FL128" i="6"/>
  <c r="FK128" i="6"/>
  <c r="FJ128" i="6"/>
  <c r="FH128" i="6"/>
  <c r="FD128" i="6"/>
  <c r="FC128" i="6"/>
  <c r="FB128" i="6"/>
  <c r="EZ128" i="6"/>
  <c r="EY128" i="6"/>
  <c r="EX128" i="6"/>
  <c r="EV128" i="6"/>
  <c r="ER128" i="6"/>
  <c r="EQ128" i="6"/>
  <c r="EP128" i="6"/>
  <c r="EN128" i="6"/>
  <c r="EJ128" i="6"/>
  <c r="EF128" i="6"/>
  <c r="EB128" i="6"/>
  <c r="DX128" i="6"/>
  <c r="DW128" i="6"/>
  <c r="DV128" i="6"/>
  <c r="DT128" i="6"/>
  <c r="DP128" i="6"/>
  <c r="DO128" i="6"/>
  <c r="DM128" i="6"/>
  <c r="DI128" i="6"/>
  <c r="DH128" i="6"/>
  <c r="DF128" i="6"/>
  <c r="DE128" i="6"/>
  <c r="DD128" i="6"/>
  <c r="DB128" i="6"/>
  <c r="CY128" i="6"/>
  <c r="CX128" i="6"/>
  <c r="CV128" i="6"/>
  <c r="CR128" i="6"/>
  <c r="CK128" i="6"/>
  <c r="CJ128" i="6"/>
  <c r="CI128" i="6"/>
  <c r="CG128" i="6"/>
  <c r="CE128" i="6"/>
  <c r="CD128" i="6"/>
  <c r="CC128" i="6"/>
  <c r="BZ128" i="6"/>
  <c r="BY128" i="6"/>
  <c r="BW128" i="6"/>
  <c r="BS128" i="6"/>
  <c r="BQ128" i="6"/>
  <c r="BP128" i="6"/>
  <c r="BO128" i="6"/>
  <c r="BN128" i="6"/>
  <c r="BL128" i="6"/>
  <c r="BC128" i="6"/>
  <c r="BA128" i="6"/>
  <c r="AZ128" i="6"/>
  <c r="AY128" i="6"/>
  <c r="AW128" i="6"/>
  <c r="AU128" i="6"/>
  <c r="AT128" i="6"/>
  <c r="AS128" i="6"/>
  <c r="AR128" i="6"/>
  <c r="AM128" i="6"/>
  <c r="AL128" i="6"/>
  <c r="AI128" i="6"/>
  <c r="AH128" i="6"/>
  <c r="M128" i="6"/>
  <c r="L128" i="6"/>
  <c r="J128" i="6"/>
  <c r="HH127" i="6"/>
  <c r="HG127" i="6"/>
  <c r="HF127" i="6"/>
  <c r="HD127" i="6"/>
  <c r="HC127" i="6"/>
  <c r="HB127" i="6"/>
  <c r="GZ127" i="6"/>
  <c r="GY127" i="6"/>
  <c r="GX127" i="6"/>
  <c r="GV127" i="6"/>
  <c r="GU127" i="6"/>
  <c r="GT127" i="6"/>
  <c r="GR127" i="6"/>
  <c r="GQ127" i="6"/>
  <c r="GP127" i="6"/>
  <c r="GN127" i="6"/>
  <c r="GM127" i="6"/>
  <c r="GL127" i="6"/>
  <c r="GJ127" i="6"/>
  <c r="GI127" i="6"/>
  <c r="GH127" i="6"/>
  <c r="GF127" i="6"/>
  <c r="GE127" i="6"/>
  <c r="GD127" i="6"/>
  <c r="GB127" i="6"/>
  <c r="GA127" i="6"/>
  <c r="FZ127" i="6"/>
  <c r="FX127" i="6"/>
  <c r="FW127" i="6"/>
  <c r="FV127" i="6"/>
  <c r="FT127" i="6"/>
  <c r="FP127" i="6"/>
  <c r="FO127" i="6"/>
  <c r="FN127" i="6"/>
  <c r="FL127" i="6"/>
  <c r="FK127" i="6"/>
  <c r="FJ127" i="6"/>
  <c r="FH127" i="6"/>
  <c r="FG127" i="6"/>
  <c r="FF127" i="6"/>
  <c r="FD127" i="6"/>
  <c r="FC127" i="6"/>
  <c r="FB127" i="6"/>
  <c r="EZ127" i="6"/>
  <c r="EY127" i="6"/>
  <c r="EX127" i="6"/>
  <c r="EV127" i="6"/>
  <c r="EU127" i="6"/>
  <c r="ET127" i="6"/>
  <c r="ER127" i="6"/>
  <c r="EQ127" i="6"/>
  <c r="EP127" i="6"/>
  <c r="EN127" i="6"/>
  <c r="EM127" i="6"/>
  <c r="EL127" i="6"/>
  <c r="EJ127" i="6"/>
  <c r="EI127" i="6"/>
  <c r="EH127" i="6"/>
  <c r="EF127" i="6"/>
  <c r="EE127" i="6"/>
  <c r="ED127" i="6"/>
  <c r="EB127" i="6"/>
  <c r="EA127" i="6"/>
  <c r="DZ127" i="6"/>
  <c r="DX127" i="6"/>
  <c r="DW127" i="6"/>
  <c r="DV127" i="6"/>
  <c r="DT127" i="6"/>
  <c r="DP127" i="6"/>
  <c r="DO127" i="6"/>
  <c r="DM127" i="6"/>
  <c r="DF127" i="6"/>
  <c r="DE127" i="6"/>
  <c r="DD127" i="6"/>
  <c r="DB127" i="6"/>
  <c r="CY127" i="6"/>
  <c r="CX127" i="6"/>
  <c r="CV127" i="6"/>
  <c r="CU127" i="6"/>
  <c r="CT127" i="6"/>
  <c r="CR127" i="6"/>
  <c r="CN127" i="6"/>
  <c r="CM127" i="6"/>
  <c r="CK127" i="6"/>
  <c r="CJ127" i="6"/>
  <c r="CI127" i="6"/>
  <c r="CG127" i="6"/>
  <c r="CE127" i="6"/>
  <c r="CD127" i="6"/>
  <c r="CC127" i="6"/>
  <c r="BZ127" i="6"/>
  <c r="BY127" i="6"/>
  <c r="BW127" i="6"/>
  <c r="BV127" i="6"/>
  <c r="BU127" i="6"/>
  <c r="BS127" i="6"/>
  <c r="BQ127" i="6"/>
  <c r="BP127" i="6"/>
  <c r="BO127" i="6"/>
  <c r="BN127" i="6"/>
  <c r="BL127" i="6"/>
  <c r="BJ127" i="6"/>
  <c r="BI127" i="6"/>
  <c r="BG127" i="6"/>
  <c r="BC127" i="6"/>
  <c r="BA127" i="6"/>
  <c r="AZ127" i="6"/>
  <c r="AY127" i="6"/>
  <c r="AW127" i="6"/>
  <c r="AU127" i="6"/>
  <c r="AT127" i="6"/>
  <c r="AS127" i="6"/>
  <c r="AR127" i="6"/>
  <c r="AM127" i="6"/>
  <c r="AL127" i="6"/>
  <c r="AI127" i="6"/>
  <c r="AH127" i="6"/>
  <c r="AE127" i="6"/>
  <c r="AD127" i="6"/>
  <c r="Z127" i="6"/>
  <c r="Y127" i="6"/>
  <c r="X127" i="6"/>
  <c r="W127" i="6"/>
  <c r="S127" i="6"/>
  <c r="R127" i="6"/>
  <c r="Q127" i="6"/>
  <c r="P127" i="6"/>
  <c r="M127" i="6"/>
  <c r="L127" i="6"/>
  <c r="J127" i="6"/>
  <c r="H127" i="6"/>
  <c r="G127" i="6"/>
  <c r="F127" i="6"/>
  <c r="E127" i="6"/>
  <c r="HH126" i="6"/>
  <c r="HG126" i="6"/>
  <c r="HF126" i="6"/>
  <c r="HD126" i="6"/>
  <c r="HC126" i="6"/>
  <c r="HB126" i="6"/>
  <c r="GZ126" i="6"/>
  <c r="GY126" i="6"/>
  <c r="GX126" i="6"/>
  <c r="GV126" i="6"/>
  <c r="GU126" i="6"/>
  <c r="GT126" i="6"/>
  <c r="GR126" i="6"/>
  <c r="GQ126" i="6"/>
  <c r="GP126" i="6"/>
  <c r="GN126" i="6"/>
  <c r="GM126" i="6"/>
  <c r="GL126" i="6"/>
  <c r="GJ126" i="6"/>
  <c r="GI126" i="6"/>
  <c r="GH126" i="6"/>
  <c r="GF126" i="6"/>
  <c r="GB126" i="6"/>
  <c r="GA126" i="6"/>
  <c r="FZ126" i="6"/>
  <c r="FX126" i="6"/>
  <c r="FT126" i="6"/>
  <c r="FS126" i="6"/>
  <c r="FR126" i="6"/>
  <c r="FP126" i="6"/>
  <c r="FL126" i="6"/>
  <c r="FK126" i="6"/>
  <c r="FJ126" i="6"/>
  <c r="FH126" i="6"/>
  <c r="FG126" i="6"/>
  <c r="FF126" i="6"/>
  <c r="FD126" i="6"/>
  <c r="FC126" i="6"/>
  <c r="FB126" i="6"/>
  <c r="EZ126" i="6"/>
  <c r="EY126" i="6"/>
  <c r="EX126" i="6"/>
  <c r="EV126" i="6"/>
  <c r="ER126" i="6"/>
  <c r="EN126" i="6"/>
  <c r="EM126" i="6"/>
  <c r="EL126" i="6"/>
  <c r="EJ126" i="6"/>
  <c r="EF126" i="6"/>
  <c r="EE126" i="6"/>
  <c r="ED126" i="6"/>
  <c r="EB126" i="6"/>
  <c r="EA126" i="6"/>
  <c r="DZ126" i="6"/>
  <c r="DX126" i="6"/>
  <c r="DT126" i="6"/>
  <c r="DM126" i="6"/>
  <c r="DI126" i="6"/>
  <c r="DH126" i="6"/>
  <c r="DF126" i="6"/>
  <c r="DE126" i="6"/>
  <c r="DD126" i="6"/>
  <c r="DB126" i="6"/>
  <c r="CY126" i="6"/>
  <c r="CX126" i="6"/>
  <c r="CV126" i="6"/>
  <c r="CU126" i="6"/>
  <c r="CT126" i="6"/>
  <c r="CR126" i="6"/>
  <c r="CN126" i="6"/>
  <c r="CM126" i="6"/>
  <c r="CK126" i="6"/>
  <c r="CJ126" i="6"/>
  <c r="CI126" i="6"/>
  <c r="CG126" i="6"/>
  <c r="BW126" i="6"/>
  <c r="BS126" i="6"/>
  <c r="BQ126" i="6"/>
  <c r="BL126" i="6"/>
  <c r="BI126" i="6"/>
  <c r="BH126" i="6"/>
  <c r="BG126" i="6"/>
  <c r="BC126" i="6"/>
  <c r="BA126" i="6"/>
  <c r="AZ126" i="6"/>
  <c r="AY126" i="6"/>
  <c r="AW126" i="6"/>
  <c r="AU126" i="6"/>
  <c r="AM126" i="6"/>
  <c r="AL126" i="6"/>
  <c r="Q126" i="6"/>
  <c r="P126" i="6"/>
  <c r="M126" i="6"/>
  <c r="L126" i="6"/>
  <c r="J126" i="6"/>
  <c r="HH125" i="6"/>
  <c r="HH87" i="6" s="1"/>
  <c r="HG125" i="6"/>
  <c r="HF125" i="6"/>
  <c r="HF87" i="6" s="1"/>
  <c r="HD125" i="6"/>
  <c r="HC125" i="6"/>
  <c r="HC87" i="6" s="1"/>
  <c r="HB125" i="6"/>
  <c r="GZ125" i="6"/>
  <c r="GZ87" i="6" s="1"/>
  <c r="GY125" i="6"/>
  <c r="GX125" i="6"/>
  <c r="GX87" i="6" s="1"/>
  <c r="GV125" i="6"/>
  <c r="GU125" i="6"/>
  <c r="GU87" i="6" s="1"/>
  <c r="GT125" i="6"/>
  <c r="GR125" i="6"/>
  <c r="GR87" i="6" s="1"/>
  <c r="GQ125" i="6"/>
  <c r="GP125" i="6"/>
  <c r="GP87" i="6" s="1"/>
  <c r="GN125" i="6"/>
  <c r="GM125" i="6"/>
  <c r="GL125" i="6"/>
  <c r="GJ125" i="6"/>
  <c r="GJ87" i="6" s="1"/>
  <c r="GI125" i="6"/>
  <c r="GH125" i="6"/>
  <c r="GF125" i="6"/>
  <c r="GA125" i="6"/>
  <c r="FZ125" i="6"/>
  <c r="FX125" i="6"/>
  <c r="FS125" i="6"/>
  <c r="FR125" i="6"/>
  <c r="FP125" i="6"/>
  <c r="FK125" i="6"/>
  <c r="FJ125" i="6"/>
  <c r="FH125" i="6"/>
  <c r="FG125" i="6"/>
  <c r="FF125" i="6"/>
  <c r="FD125" i="6"/>
  <c r="FC125" i="6"/>
  <c r="FB125" i="6"/>
  <c r="EZ125" i="6"/>
  <c r="EY125" i="6"/>
  <c r="EX125" i="6"/>
  <c r="EV125" i="6"/>
  <c r="EM125" i="6"/>
  <c r="EL125" i="6"/>
  <c r="EJ125" i="6"/>
  <c r="EE125" i="6"/>
  <c r="ED125" i="6"/>
  <c r="EB125" i="6"/>
  <c r="EA125" i="6"/>
  <c r="DZ125" i="6"/>
  <c r="DX125" i="6"/>
  <c r="DI125" i="6"/>
  <c r="DH125" i="6"/>
  <c r="DF125" i="6"/>
  <c r="DE125" i="6"/>
  <c r="DD125" i="6"/>
  <c r="DB125" i="6"/>
  <c r="CY125" i="6"/>
  <c r="CX125" i="6"/>
  <c r="CV125" i="6"/>
  <c r="CU125" i="6"/>
  <c r="CT125" i="6"/>
  <c r="CR125" i="6"/>
  <c r="CN125" i="6"/>
  <c r="CM125" i="6"/>
  <c r="CK125" i="6"/>
  <c r="CJ125" i="6"/>
  <c r="CI125" i="6"/>
  <c r="CG125" i="6"/>
  <c r="CG87" i="6" s="1"/>
  <c r="BQ125" i="6"/>
  <c r="BH125" i="6"/>
  <c r="BG125" i="6"/>
  <c r="BC125" i="6"/>
  <c r="BC87" i="6" s="1"/>
  <c r="BA125" i="6"/>
  <c r="AZ125" i="6"/>
  <c r="AZ87" i="6" s="1"/>
  <c r="AY125" i="6"/>
  <c r="AW125" i="6"/>
  <c r="AW87" i="6" s="1"/>
  <c r="AU125" i="6"/>
  <c r="AM125" i="6"/>
  <c r="AL125" i="6"/>
  <c r="P125" i="6"/>
  <c r="P87" i="6" s="1"/>
  <c r="M125" i="6"/>
  <c r="L125" i="6"/>
  <c r="J125" i="6"/>
  <c r="HH124" i="6"/>
  <c r="HG124" i="6"/>
  <c r="HF124" i="6"/>
  <c r="HD124" i="6"/>
  <c r="HC124" i="6"/>
  <c r="HB124" i="6"/>
  <c r="GZ124" i="6"/>
  <c r="GY124" i="6"/>
  <c r="GX124" i="6"/>
  <c r="GV124" i="6"/>
  <c r="GU124" i="6"/>
  <c r="GT124" i="6"/>
  <c r="GR124" i="6"/>
  <c r="GQ124" i="6"/>
  <c r="GP124" i="6"/>
  <c r="GN124" i="6"/>
  <c r="GM124" i="6"/>
  <c r="GL124" i="6"/>
  <c r="GJ124" i="6"/>
  <c r="GI124" i="6"/>
  <c r="GH124" i="6"/>
  <c r="GF124" i="6"/>
  <c r="GE124" i="6"/>
  <c r="GD124" i="6"/>
  <c r="GB124" i="6"/>
  <c r="GA124" i="6"/>
  <c r="FZ124" i="6"/>
  <c r="FX124" i="6"/>
  <c r="FT124" i="6"/>
  <c r="FS124" i="6"/>
  <c r="FR124" i="6"/>
  <c r="FP124" i="6"/>
  <c r="FN124" i="6"/>
  <c r="FL124" i="6"/>
  <c r="FK124" i="6"/>
  <c r="FJ124" i="6"/>
  <c r="FH124" i="6"/>
  <c r="FG124" i="6"/>
  <c r="FF124" i="6"/>
  <c r="FD124" i="6"/>
  <c r="FC124" i="6"/>
  <c r="FB124" i="6"/>
  <c r="EZ124" i="6"/>
  <c r="EY124" i="6"/>
  <c r="EX124" i="6"/>
  <c r="EV124" i="6"/>
  <c r="EU124" i="6"/>
  <c r="ET124" i="6"/>
  <c r="ER124" i="6"/>
  <c r="EQ124" i="6"/>
  <c r="EP124" i="6"/>
  <c r="EN124" i="6"/>
  <c r="EM124" i="6"/>
  <c r="EJ124" i="6"/>
  <c r="EI124" i="6"/>
  <c r="EH124" i="6"/>
  <c r="EF124" i="6"/>
  <c r="EE124" i="6"/>
  <c r="ED124" i="6"/>
  <c r="EB124" i="6"/>
  <c r="EA124" i="6"/>
  <c r="DZ124" i="6"/>
  <c r="DX124" i="6"/>
  <c r="DW124" i="6"/>
  <c r="DT124" i="6"/>
  <c r="DP124" i="6"/>
  <c r="DO124" i="6"/>
  <c r="DM124" i="6"/>
  <c r="DI124" i="6"/>
  <c r="DH124" i="6"/>
  <c r="DF124" i="6"/>
  <c r="DE124" i="6"/>
  <c r="DD124" i="6"/>
  <c r="DB124" i="6"/>
  <c r="CY124" i="6"/>
  <c r="CX124" i="6"/>
  <c r="CV124" i="6"/>
  <c r="CT124" i="6"/>
  <c r="CR124" i="6"/>
  <c r="CN124" i="6"/>
  <c r="CM124" i="6"/>
  <c r="CK124" i="6"/>
  <c r="CJ124" i="6"/>
  <c r="CI124" i="6"/>
  <c r="CG124" i="6"/>
  <c r="CE124" i="6"/>
  <c r="CD124" i="6"/>
  <c r="CC124" i="6"/>
  <c r="BZ124" i="6"/>
  <c r="BY124" i="6"/>
  <c r="BW124" i="6"/>
  <c r="BV124" i="6"/>
  <c r="BU124" i="6"/>
  <c r="BS124" i="6"/>
  <c r="BQ124" i="6"/>
  <c r="BP124" i="6"/>
  <c r="BO124" i="6"/>
  <c r="BN124" i="6"/>
  <c r="BL124" i="6"/>
  <c r="BJ124" i="6"/>
  <c r="BI124" i="6"/>
  <c r="BH124" i="6"/>
  <c r="BG124" i="6"/>
  <c r="BC124" i="6"/>
  <c r="BA124" i="6"/>
  <c r="AZ124" i="6"/>
  <c r="AY124" i="6"/>
  <c r="AW124" i="6"/>
  <c r="AU124" i="6"/>
  <c r="AT124" i="6"/>
  <c r="AR124" i="6"/>
  <c r="AM124" i="6"/>
  <c r="AL124" i="6"/>
  <c r="AI124" i="6"/>
  <c r="AH124" i="6"/>
  <c r="AE124" i="6"/>
  <c r="AD124" i="6"/>
  <c r="X124" i="6"/>
  <c r="W124" i="6"/>
  <c r="S124" i="6"/>
  <c r="R124" i="6"/>
  <c r="Q124" i="6"/>
  <c r="P124" i="6"/>
  <c r="L124" i="6"/>
  <c r="J124" i="6"/>
  <c r="H124" i="6"/>
  <c r="F124" i="6"/>
  <c r="E124" i="6"/>
  <c r="HH123" i="6"/>
  <c r="HG123" i="6"/>
  <c r="HF123" i="6"/>
  <c r="HD123" i="6"/>
  <c r="HC123" i="6"/>
  <c r="HB123" i="6"/>
  <c r="GZ123" i="6"/>
  <c r="GY123" i="6"/>
  <c r="GX123" i="6"/>
  <c r="GV123" i="6"/>
  <c r="GU123" i="6"/>
  <c r="GT123" i="6"/>
  <c r="GR123" i="6"/>
  <c r="GQ123" i="6"/>
  <c r="GP123" i="6"/>
  <c r="GN123" i="6"/>
  <c r="GM123" i="6"/>
  <c r="GL123" i="6"/>
  <c r="GJ123" i="6"/>
  <c r="GI123" i="6"/>
  <c r="GH123" i="6"/>
  <c r="GF123" i="6"/>
  <c r="GE123" i="6"/>
  <c r="GD123" i="6"/>
  <c r="GB123" i="6"/>
  <c r="GA123" i="6"/>
  <c r="FZ123" i="6"/>
  <c r="FX123" i="6"/>
  <c r="FS123" i="6"/>
  <c r="FR123" i="6"/>
  <c r="FP123" i="6"/>
  <c r="FL123" i="6"/>
  <c r="FK123" i="6"/>
  <c r="FJ123" i="6"/>
  <c r="FH123" i="6"/>
  <c r="FG123" i="6"/>
  <c r="FF123" i="6"/>
  <c r="FD123" i="6"/>
  <c r="FC123" i="6"/>
  <c r="FB123" i="6"/>
  <c r="EZ123" i="6"/>
  <c r="EY123" i="6"/>
  <c r="EX123" i="6"/>
  <c r="EV123" i="6"/>
  <c r="EU123" i="6"/>
  <c r="ET123" i="6"/>
  <c r="ER123" i="6"/>
  <c r="EQ123" i="6"/>
  <c r="EP123" i="6"/>
  <c r="EN123" i="6"/>
  <c r="EM123" i="6"/>
  <c r="EI123" i="6"/>
  <c r="EH123" i="6"/>
  <c r="EF123" i="6"/>
  <c r="EE123" i="6"/>
  <c r="ED123" i="6"/>
  <c r="EB123" i="6"/>
  <c r="EA123" i="6"/>
  <c r="DZ123" i="6"/>
  <c r="DX123" i="6"/>
  <c r="DW123" i="6"/>
  <c r="DP123" i="6"/>
  <c r="DO123" i="6"/>
  <c r="DM123" i="6"/>
  <c r="DI123" i="6"/>
  <c r="DH123" i="6"/>
  <c r="DF123" i="6"/>
  <c r="DE123" i="6"/>
  <c r="DD123" i="6"/>
  <c r="DB123" i="6"/>
  <c r="CY123" i="6"/>
  <c r="CX123" i="6"/>
  <c r="CV123" i="6"/>
  <c r="CR123" i="6"/>
  <c r="CN123" i="6"/>
  <c r="CM123" i="6"/>
  <c r="CK123" i="6"/>
  <c r="CJ123" i="6"/>
  <c r="CI123" i="6"/>
  <c r="CG123" i="6"/>
  <c r="CE123" i="6"/>
  <c r="CD123" i="6"/>
  <c r="CC123" i="6"/>
  <c r="BZ123" i="6"/>
  <c r="BY123" i="6"/>
  <c r="BW123" i="6"/>
  <c r="BV123" i="6"/>
  <c r="BU123" i="6"/>
  <c r="BS123" i="6"/>
  <c r="BQ123" i="6"/>
  <c r="BP123" i="6"/>
  <c r="BO123" i="6"/>
  <c r="BN123" i="6"/>
  <c r="BL123" i="6"/>
  <c r="BJ123" i="6"/>
  <c r="BI123" i="6"/>
  <c r="BH123" i="6"/>
  <c r="BG123" i="6"/>
  <c r="BC123" i="6"/>
  <c r="BA123" i="6"/>
  <c r="AZ123" i="6"/>
  <c r="AY123" i="6"/>
  <c r="AW123" i="6"/>
  <c r="AU123" i="6"/>
  <c r="AT123" i="6"/>
  <c r="AM123" i="6"/>
  <c r="AL123" i="6"/>
  <c r="AI123" i="6"/>
  <c r="AH123" i="6"/>
  <c r="AE123" i="6"/>
  <c r="AD123" i="6"/>
  <c r="W123" i="6"/>
  <c r="S123" i="6"/>
  <c r="R123" i="6"/>
  <c r="Q123" i="6"/>
  <c r="P123" i="6"/>
  <c r="J123" i="6"/>
  <c r="H123" i="6"/>
  <c r="E123" i="6"/>
  <c r="HF122" i="6"/>
  <c r="HD122" i="6"/>
  <c r="HC122" i="6"/>
  <c r="GZ122" i="6"/>
  <c r="GV122" i="6"/>
  <c r="GU122" i="6"/>
  <c r="GT122" i="6"/>
  <c r="GR122" i="6"/>
  <c r="GQ122" i="6"/>
  <c r="GP122" i="6"/>
  <c r="GN122" i="6"/>
  <c r="GM122" i="6"/>
  <c r="GL122" i="6"/>
  <c r="GJ122" i="6"/>
  <c r="GI122" i="6"/>
  <c r="GH122" i="6"/>
  <c r="GF122" i="6"/>
  <c r="GE122" i="6"/>
  <c r="GD122" i="6"/>
  <c r="GB122" i="6"/>
  <c r="FX122" i="6"/>
  <c r="FT122" i="6"/>
  <c r="FP122" i="6"/>
  <c r="FO122" i="6"/>
  <c r="FN122" i="6"/>
  <c r="FL122" i="6"/>
  <c r="FK122" i="6"/>
  <c r="FJ122" i="6"/>
  <c r="FH122" i="6"/>
  <c r="FG122" i="6"/>
  <c r="FF122" i="6"/>
  <c r="FD122" i="6"/>
  <c r="EZ122" i="6"/>
  <c r="EY122" i="6"/>
  <c r="EV122" i="6"/>
  <c r="EU122" i="6"/>
  <c r="ET122" i="6"/>
  <c r="ER122" i="6"/>
  <c r="EN122" i="6"/>
  <c r="EM122" i="6"/>
  <c r="EL122" i="6"/>
  <c r="EJ122" i="6"/>
  <c r="EI122" i="6"/>
  <c r="EH122" i="6"/>
  <c r="EF122" i="6"/>
  <c r="EB122" i="6"/>
  <c r="EA122" i="6"/>
  <c r="DZ122" i="6"/>
  <c r="DX122" i="6"/>
  <c r="DT122" i="6"/>
  <c r="DP122" i="6"/>
  <c r="DO122" i="6"/>
  <c r="DM122" i="6"/>
  <c r="DF122" i="6"/>
  <c r="DE122" i="6"/>
  <c r="DD122" i="6"/>
  <c r="DB122" i="6"/>
  <c r="CX122" i="6"/>
  <c r="CV122" i="6"/>
  <c r="CU122" i="6"/>
  <c r="CT122" i="6"/>
  <c r="CR122" i="6"/>
  <c r="CN122" i="6"/>
  <c r="CM122" i="6"/>
  <c r="CK122" i="6"/>
  <c r="CJ122" i="6"/>
  <c r="CG122" i="6"/>
  <c r="BZ122" i="6"/>
  <c r="BY122" i="6"/>
  <c r="BW122" i="6"/>
  <c r="BV122" i="6"/>
  <c r="BU122" i="6"/>
  <c r="BS122" i="6"/>
  <c r="BO122" i="6"/>
  <c r="BN122" i="6"/>
  <c r="BL122" i="6"/>
  <c r="BH122" i="6"/>
  <c r="BG122" i="6"/>
  <c r="BC122" i="6"/>
  <c r="BA122" i="6"/>
  <c r="AZ122" i="6"/>
  <c r="AY122" i="6"/>
  <c r="AW122" i="6"/>
  <c r="AU122" i="6"/>
  <c r="AT122" i="6"/>
  <c r="AS122" i="6"/>
  <c r="AR122" i="6"/>
  <c r="AE122" i="6"/>
  <c r="AD122" i="6"/>
  <c r="Z122" i="6"/>
  <c r="Y122" i="6"/>
  <c r="S122" i="6"/>
  <c r="R122" i="6"/>
  <c r="Q122" i="6"/>
  <c r="P122" i="6"/>
  <c r="J122" i="6"/>
  <c r="H122" i="6"/>
  <c r="G122" i="6"/>
  <c r="F122" i="6"/>
  <c r="E122" i="6"/>
  <c r="HD121" i="6"/>
  <c r="HC121" i="6"/>
  <c r="GU121" i="6"/>
  <c r="GT121" i="6"/>
  <c r="GR121" i="6"/>
  <c r="GQ121" i="6"/>
  <c r="GP121" i="6"/>
  <c r="GN121" i="6"/>
  <c r="GM121" i="6"/>
  <c r="GL121" i="6"/>
  <c r="GJ121" i="6"/>
  <c r="GI121" i="6"/>
  <c r="GH121" i="6"/>
  <c r="GF121" i="6"/>
  <c r="GE121" i="6"/>
  <c r="GD121" i="6"/>
  <c r="GB121" i="6"/>
  <c r="FO121" i="6"/>
  <c r="FN121" i="6"/>
  <c r="FL121" i="6"/>
  <c r="FK121" i="6"/>
  <c r="FJ121" i="6"/>
  <c r="FH121" i="6"/>
  <c r="FG121" i="6"/>
  <c r="FF121" i="6"/>
  <c r="FD121" i="6"/>
  <c r="EY121" i="6"/>
  <c r="EU121" i="6"/>
  <c r="ET121" i="6"/>
  <c r="ER121" i="6"/>
  <c r="EM121" i="6"/>
  <c r="EL121" i="6"/>
  <c r="EJ121" i="6"/>
  <c r="EI121" i="6"/>
  <c r="EH121" i="6"/>
  <c r="EF121" i="6"/>
  <c r="EA121" i="6"/>
  <c r="DZ121" i="6"/>
  <c r="DZ107" i="6" s="1"/>
  <c r="DX121" i="6"/>
  <c r="DP121" i="6"/>
  <c r="DO121" i="6"/>
  <c r="DM121" i="6"/>
  <c r="DE121" i="6"/>
  <c r="DD121" i="6"/>
  <c r="DB121" i="6"/>
  <c r="CV121" i="6"/>
  <c r="CU121" i="6"/>
  <c r="CT121" i="6"/>
  <c r="CR121" i="6"/>
  <c r="CN121" i="6"/>
  <c r="CM121" i="6"/>
  <c r="CK121" i="6"/>
  <c r="CJ121" i="6"/>
  <c r="BZ121" i="6"/>
  <c r="BZ86" i="6" s="1"/>
  <c r="BY121" i="6"/>
  <c r="BW121" i="6"/>
  <c r="BV121" i="6"/>
  <c r="BU121" i="6"/>
  <c r="BS121" i="6"/>
  <c r="BN121" i="6"/>
  <c r="BN86" i="6" s="1"/>
  <c r="BL121" i="6"/>
  <c r="BG121" i="6"/>
  <c r="BA121" i="6"/>
  <c r="AZ121" i="6"/>
  <c r="AY121" i="6"/>
  <c r="AW121" i="6"/>
  <c r="AU121" i="6"/>
  <c r="AT121" i="6"/>
  <c r="AS121" i="6"/>
  <c r="AR121" i="6"/>
  <c r="AE121" i="6"/>
  <c r="AD121" i="6"/>
  <c r="AD108" i="6" s="1"/>
  <c r="Z121" i="6"/>
  <c r="Y121" i="6"/>
  <c r="S121" i="6"/>
  <c r="R121" i="6"/>
  <c r="Q121" i="6"/>
  <c r="P121" i="6"/>
  <c r="H121" i="6"/>
  <c r="G121" i="6"/>
  <c r="F121" i="6"/>
  <c r="E121" i="6"/>
  <c r="HH120" i="6"/>
  <c r="HD120" i="6"/>
  <c r="HC120" i="6"/>
  <c r="GU120" i="6"/>
  <c r="GT120" i="6"/>
  <c r="GR120" i="6"/>
  <c r="GQ120" i="6"/>
  <c r="GM120" i="6"/>
  <c r="GI120" i="6"/>
  <c r="GE120" i="6"/>
  <c r="GA120" i="6"/>
  <c r="FZ120" i="6"/>
  <c r="FX120" i="6"/>
  <c r="FS120" i="6"/>
  <c r="FK120" i="6"/>
  <c r="FJ120" i="6"/>
  <c r="FJ85" i="6" s="1"/>
  <c r="FH120" i="6"/>
  <c r="FG120" i="6"/>
  <c r="EY120" i="6"/>
  <c r="EQ120" i="6"/>
  <c r="EP120" i="6"/>
  <c r="EN120" i="6"/>
  <c r="EA120" i="6"/>
  <c r="DZ120" i="6"/>
  <c r="DX120" i="6"/>
  <c r="DP120" i="6"/>
  <c r="DO120" i="6"/>
  <c r="DM120" i="6"/>
  <c r="DI120" i="6"/>
  <c r="DH120" i="6"/>
  <c r="DH85" i="6" s="1"/>
  <c r="DF120" i="6"/>
  <c r="DE120" i="6"/>
  <c r="DD120" i="6"/>
  <c r="DB120" i="6"/>
  <c r="CY120" i="6"/>
  <c r="CX120" i="6"/>
  <c r="CX85" i="6" s="1"/>
  <c r="CV120" i="6"/>
  <c r="CN120" i="6"/>
  <c r="CM120" i="6"/>
  <c r="CK120" i="6"/>
  <c r="CJ120" i="6"/>
  <c r="CI120" i="6"/>
  <c r="CG120" i="6"/>
  <c r="CC120" i="6"/>
  <c r="BZ120" i="6"/>
  <c r="BV120" i="6"/>
  <c r="BU120" i="6"/>
  <c r="BS120" i="6"/>
  <c r="BN120" i="6"/>
  <c r="BL120" i="6"/>
  <c r="AZ120" i="6"/>
  <c r="AY120" i="6"/>
  <c r="AW120" i="6"/>
  <c r="AL120" i="6"/>
  <c r="AI120" i="6"/>
  <c r="AH120" i="6"/>
  <c r="AH85" i="6" s="1"/>
  <c r="AE120" i="6"/>
  <c r="AD120" i="6"/>
  <c r="Z120" i="6"/>
  <c r="W120" i="6"/>
  <c r="S120" i="6"/>
  <c r="R120" i="6"/>
  <c r="Q120" i="6"/>
  <c r="P120" i="6"/>
  <c r="HH117" i="6"/>
  <c r="HG117" i="6"/>
  <c r="HF117" i="6"/>
  <c r="HD117" i="6"/>
  <c r="HC117" i="6"/>
  <c r="HB117" i="6"/>
  <c r="GZ117" i="6"/>
  <c r="GY117" i="6"/>
  <c r="GX117" i="6"/>
  <c r="GV117" i="6"/>
  <c r="GU117" i="6"/>
  <c r="GT117" i="6"/>
  <c r="GR117" i="6"/>
  <c r="GQ117" i="6"/>
  <c r="GP117" i="6"/>
  <c r="GN117" i="6"/>
  <c r="GM117" i="6"/>
  <c r="GL117" i="6"/>
  <c r="GJ117" i="6"/>
  <c r="GI117" i="6"/>
  <c r="GH117" i="6"/>
  <c r="GF117" i="6"/>
  <c r="GE117" i="6"/>
  <c r="GD117" i="6"/>
  <c r="GB117" i="6"/>
  <c r="GA117" i="6"/>
  <c r="FZ117" i="6"/>
  <c r="FX117" i="6"/>
  <c r="FW117" i="6"/>
  <c r="FV117" i="6"/>
  <c r="FT117" i="6"/>
  <c r="FS117" i="6"/>
  <c r="FR117" i="6"/>
  <c r="FP117" i="6"/>
  <c r="FO117" i="6"/>
  <c r="FN117" i="6"/>
  <c r="FL117" i="6"/>
  <c r="FK117" i="6"/>
  <c r="FJ117" i="6"/>
  <c r="FH117" i="6"/>
  <c r="FG117" i="6"/>
  <c r="FF117" i="6"/>
  <c r="FD117" i="6"/>
  <c r="FC117" i="6"/>
  <c r="FB117" i="6"/>
  <c r="EZ117" i="6"/>
  <c r="EY117" i="6"/>
  <c r="EX117" i="6"/>
  <c r="EV117" i="6"/>
  <c r="EU117" i="6"/>
  <c r="ET117" i="6"/>
  <c r="ER117" i="6"/>
  <c r="EQ117" i="6"/>
  <c r="EP117" i="6"/>
  <c r="EN117" i="6"/>
  <c r="EL117" i="6"/>
  <c r="EJ117" i="6"/>
  <c r="EI117" i="6"/>
  <c r="EH117" i="6"/>
  <c r="EF117" i="6"/>
  <c r="EE117" i="6"/>
  <c r="ED117" i="6"/>
  <c r="EB117" i="6"/>
  <c r="EA117" i="6"/>
  <c r="DZ117" i="6"/>
  <c r="DX117" i="6"/>
  <c r="DW117" i="6"/>
  <c r="DV117" i="6"/>
  <c r="DT117" i="6"/>
  <c r="DP117" i="6"/>
  <c r="DM117" i="6"/>
  <c r="DI117" i="6"/>
  <c r="DH117" i="6"/>
  <c r="DF117" i="6"/>
  <c r="DE117" i="6"/>
  <c r="DD117" i="6"/>
  <c r="DB117" i="6"/>
  <c r="CY117" i="6"/>
  <c r="CX117" i="6"/>
  <c r="CV117" i="6"/>
  <c r="CU117" i="6"/>
  <c r="CT117" i="6"/>
  <c r="CR117" i="6"/>
  <c r="CN117" i="6"/>
  <c r="CM117" i="6"/>
  <c r="CK117" i="6"/>
  <c r="CJ117" i="6"/>
  <c r="CI117" i="6"/>
  <c r="CG117" i="6"/>
  <c r="CE117" i="6"/>
  <c r="CD117" i="6"/>
  <c r="CC117" i="6"/>
  <c r="BZ117" i="6"/>
  <c r="BY117" i="6"/>
  <c r="BW117" i="6"/>
  <c r="BV117" i="6"/>
  <c r="BU117" i="6"/>
  <c r="BS117" i="6"/>
  <c r="BQ117" i="6"/>
  <c r="BP117" i="6"/>
  <c r="BO117" i="6"/>
  <c r="BN117" i="6"/>
  <c r="BL117" i="6"/>
  <c r="BJ117" i="6"/>
  <c r="BI117" i="6"/>
  <c r="BH117" i="6"/>
  <c r="BG117" i="6"/>
  <c r="BC117" i="6"/>
  <c r="BA117" i="6"/>
  <c r="AZ117" i="6"/>
  <c r="AY117" i="6"/>
  <c r="AW117" i="6"/>
  <c r="AU117" i="6"/>
  <c r="AT117" i="6"/>
  <c r="AR117" i="6"/>
  <c r="AM117" i="6"/>
  <c r="AL117" i="6"/>
  <c r="AI117" i="6"/>
  <c r="AH117" i="6"/>
  <c r="Z117" i="6"/>
  <c r="Y117" i="6"/>
  <c r="X117" i="6"/>
  <c r="W117" i="6"/>
  <c r="S117" i="6"/>
  <c r="R117" i="6"/>
  <c r="Q117" i="6"/>
  <c r="P117" i="6"/>
  <c r="M117" i="6"/>
  <c r="L117" i="6"/>
  <c r="J117" i="6"/>
  <c r="H117" i="6"/>
  <c r="G117" i="6"/>
  <c r="F117" i="6"/>
  <c r="E117" i="6"/>
  <c r="HG116" i="6"/>
  <c r="HF116" i="6"/>
  <c r="HB116" i="6"/>
  <c r="GX116" i="6"/>
  <c r="GT116" i="6"/>
  <c r="GP116" i="6"/>
  <c r="GP108" i="6" s="1"/>
  <c r="GL116" i="6"/>
  <c r="GH116" i="6"/>
  <c r="GH108" i="6" s="1"/>
  <c r="GD116" i="6"/>
  <c r="FZ116" i="6"/>
  <c r="FV116" i="6"/>
  <c r="FR116" i="6"/>
  <c r="FN116" i="6"/>
  <c r="FJ116" i="6"/>
  <c r="FF116" i="6"/>
  <c r="FB116" i="6"/>
  <c r="EX116" i="6"/>
  <c r="ET116" i="6"/>
  <c r="ET108" i="6" s="1"/>
  <c r="EP116" i="6"/>
  <c r="EL116" i="6"/>
  <c r="EH116" i="6"/>
  <c r="ED116" i="6"/>
  <c r="DZ116" i="6"/>
  <c r="DV116" i="6"/>
  <c r="DO116" i="6"/>
  <c r="DH116" i="6"/>
  <c r="DD116" i="6"/>
  <c r="CX116" i="6"/>
  <c r="CT116" i="6"/>
  <c r="CM116" i="6"/>
  <c r="CM108" i="6" s="1"/>
  <c r="CI116" i="6"/>
  <c r="CE116" i="6"/>
  <c r="CD116" i="6"/>
  <c r="CC116" i="6"/>
  <c r="BY116" i="6"/>
  <c r="BY108" i="6" s="1"/>
  <c r="BU116" i="6"/>
  <c r="BU108" i="6" s="1"/>
  <c r="BQ116" i="6"/>
  <c r="BP116" i="6"/>
  <c r="BO116" i="6"/>
  <c r="BN116" i="6"/>
  <c r="BN108" i="6" s="1"/>
  <c r="BJ116" i="6"/>
  <c r="BI116" i="6"/>
  <c r="BH116" i="6"/>
  <c r="BG116" i="6"/>
  <c r="BC116" i="6"/>
  <c r="AY116" i="6"/>
  <c r="AY108" i="6" s="1"/>
  <c r="AU116" i="6"/>
  <c r="AT116" i="6"/>
  <c r="AT108" i="6" s="1"/>
  <c r="AS116" i="6"/>
  <c r="AR116" i="6"/>
  <c r="AR108" i="6" s="1"/>
  <c r="AL116" i="6"/>
  <c r="AH116" i="6"/>
  <c r="AD116" i="6"/>
  <c r="Z116" i="6"/>
  <c r="Y116" i="6"/>
  <c r="X116" i="6"/>
  <c r="W116" i="6"/>
  <c r="S116" i="6"/>
  <c r="R116" i="6"/>
  <c r="L116" i="6"/>
  <c r="H116" i="6"/>
  <c r="H108" i="6" s="1"/>
  <c r="G116" i="6"/>
  <c r="F116" i="6"/>
  <c r="E116" i="6"/>
  <c r="HG115" i="6"/>
  <c r="HF115" i="6"/>
  <c r="HB115" i="6"/>
  <c r="GX115" i="6"/>
  <c r="GT115" i="6"/>
  <c r="GP115" i="6"/>
  <c r="GP107" i="6" s="1"/>
  <c r="GL115" i="6"/>
  <c r="GH115" i="6"/>
  <c r="GH107" i="6" s="1"/>
  <c r="GD115" i="6"/>
  <c r="FZ115" i="6"/>
  <c r="FV115" i="6"/>
  <c r="FR115" i="6"/>
  <c r="FN115" i="6"/>
  <c r="FN107" i="6" s="1"/>
  <c r="FJ115" i="6"/>
  <c r="FB115" i="6"/>
  <c r="EX115" i="6"/>
  <c r="ET115" i="6"/>
  <c r="EP115" i="6"/>
  <c r="EL115" i="6"/>
  <c r="EH115" i="6"/>
  <c r="EH107" i="6" s="1"/>
  <c r="DZ115" i="6"/>
  <c r="DV115" i="6"/>
  <c r="DO115" i="6"/>
  <c r="DO107" i="6" s="1"/>
  <c r="DH115" i="6"/>
  <c r="DD115" i="6"/>
  <c r="CX115" i="6"/>
  <c r="CT115" i="6"/>
  <c r="CM115" i="6"/>
  <c r="CM107" i="6" s="1"/>
  <c r="CI115" i="6"/>
  <c r="CE115" i="6"/>
  <c r="CD115" i="6"/>
  <c r="CC115" i="6"/>
  <c r="BY115" i="6"/>
  <c r="BU115" i="6"/>
  <c r="BU107" i="6" s="1"/>
  <c r="BQ115" i="6"/>
  <c r="BP115" i="6"/>
  <c r="BO115" i="6"/>
  <c r="BN115" i="6"/>
  <c r="BJ115" i="6"/>
  <c r="BI115" i="6"/>
  <c r="BH115" i="6"/>
  <c r="BG115" i="6"/>
  <c r="BG107" i="6" s="1"/>
  <c r="BC115" i="6"/>
  <c r="AY115" i="6"/>
  <c r="AU115" i="6"/>
  <c r="AT115" i="6"/>
  <c r="AS115" i="6"/>
  <c r="AS107" i="6" s="1"/>
  <c r="AR115" i="6"/>
  <c r="AR107" i="6" s="1"/>
  <c r="AL115" i="6"/>
  <c r="AH115" i="6"/>
  <c r="AD115" i="6"/>
  <c r="Z115" i="6"/>
  <c r="Y115" i="6"/>
  <c r="X115" i="6"/>
  <c r="W115" i="6"/>
  <c r="S115" i="6"/>
  <c r="R115" i="6"/>
  <c r="L115" i="6"/>
  <c r="H115" i="6"/>
  <c r="G115" i="6"/>
  <c r="G107" i="6" s="1"/>
  <c r="F115" i="6"/>
  <c r="F107" i="6" s="1"/>
  <c r="E115" i="6"/>
  <c r="HF113" i="6"/>
  <c r="HB113" i="6"/>
  <c r="GT113" i="6"/>
  <c r="FZ113" i="6"/>
  <c r="FR113" i="6"/>
  <c r="FN113" i="6"/>
  <c r="ET113" i="6"/>
  <c r="ED113" i="6"/>
  <c r="DO113" i="6"/>
  <c r="DH113" i="6"/>
  <c r="DD113" i="6"/>
  <c r="BU113" i="6"/>
  <c r="BQ113" i="6"/>
  <c r="BP113" i="6"/>
  <c r="BO113" i="6"/>
  <c r="BN113" i="6"/>
  <c r="BC113" i="6"/>
  <c r="AY113" i="6"/>
  <c r="HD112" i="6"/>
  <c r="HC112" i="6"/>
  <c r="GZ112" i="6"/>
  <c r="GV112" i="6"/>
  <c r="GU112" i="6"/>
  <c r="GR112" i="6"/>
  <c r="GN112" i="6"/>
  <c r="GJ112" i="6"/>
  <c r="GF112" i="6"/>
  <c r="GB112" i="6"/>
  <c r="FX112" i="6"/>
  <c r="FT112" i="6"/>
  <c r="FP112" i="6"/>
  <c r="FL112" i="6"/>
  <c r="FH112" i="6"/>
  <c r="FD112" i="6"/>
  <c r="EZ112" i="6"/>
  <c r="EY112" i="6"/>
  <c r="EV112" i="6"/>
  <c r="ER112" i="6"/>
  <c r="EN112" i="6"/>
  <c r="EJ112" i="6"/>
  <c r="EF112" i="6"/>
  <c r="EB112" i="6"/>
  <c r="DX112" i="6"/>
  <c r="DT112" i="6"/>
  <c r="DM112" i="6"/>
  <c r="DF112" i="6"/>
  <c r="DB112" i="6"/>
  <c r="CV112" i="6"/>
  <c r="CR112" i="6"/>
  <c r="CK112" i="6"/>
  <c r="CG112" i="6"/>
  <c r="BW112" i="6"/>
  <c r="BS112" i="6"/>
  <c r="BL112" i="6"/>
  <c r="BA112" i="6"/>
  <c r="AW112" i="6"/>
  <c r="J112" i="6"/>
  <c r="HD109" i="6"/>
  <c r="HC109" i="6"/>
  <c r="GZ109" i="6"/>
  <c r="GV109" i="6"/>
  <c r="GU109" i="6"/>
  <c r="GR109" i="6"/>
  <c r="GN109" i="6"/>
  <c r="GJ109" i="6"/>
  <c r="GF109" i="6"/>
  <c r="GB109" i="6"/>
  <c r="FX109" i="6"/>
  <c r="FT109" i="6"/>
  <c r="FP109" i="6"/>
  <c r="FL109" i="6"/>
  <c r="FH109" i="6"/>
  <c r="FD109" i="6"/>
  <c r="EZ109" i="6"/>
  <c r="EY109" i="6"/>
  <c r="EV109" i="6"/>
  <c r="ER109" i="6"/>
  <c r="EN109" i="6"/>
  <c r="EJ109" i="6"/>
  <c r="EF109" i="6"/>
  <c r="EB109" i="6"/>
  <c r="DX109" i="6"/>
  <c r="DT109" i="6"/>
  <c r="DM109" i="6"/>
  <c r="DF109" i="6"/>
  <c r="DB109" i="6"/>
  <c r="CV109" i="6"/>
  <c r="CR109" i="6"/>
  <c r="CK109" i="6"/>
  <c r="CG109" i="6"/>
  <c r="BW109" i="6"/>
  <c r="BS109" i="6"/>
  <c r="BL109" i="6"/>
  <c r="BA109" i="6"/>
  <c r="AW109" i="6"/>
  <c r="J109" i="6"/>
  <c r="HD108" i="6"/>
  <c r="HC108" i="6"/>
  <c r="GU108" i="6"/>
  <c r="GT108" i="6"/>
  <c r="GR108" i="6"/>
  <c r="GQ108" i="6"/>
  <c r="GN108" i="6"/>
  <c r="GM108" i="6"/>
  <c r="GL108" i="6"/>
  <c r="GJ108" i="6"/>
  <c r="GI108" i="6"/>
  <c r="GF108" i="6"/>
  <c r="GE108" i="6"/>
  <c r="GD108" i="6"/>
  <c r="GB108" i="6"/>
  <c r="FO108" i="6"/>
  <c r="FN108" i="6"/>
  <c r="FL108" i="6"/>
  <c r="FK108" i="6"/>
  <c r="FJ108" i="6"/>
  <c r="FH108" i="6"/>
  <c r="FG108" i="6"/>
  <c r="FF108" i="6"/>
  <c r="FD108" i="6"/>
  <c r="EY108" i="6"/>
  <c r="EU108" i="6"/>
  <c r="ER108" i="6"/>
  <c r="EM108" i="6"/>
  <c r="EL108" i="6"/>
  <c r="EJ108" i="6"/>
  <c r="EI108" i="6"/>
  <c r="EH108" i="6"/>
  <c r="EF108" i="6"/>
  <c r="EA108" i="6"/>
  <c r="DZ108" i="6"/>
  <c r="DX108" i="6"/>
  <c r="DP108" i="6"/>
  <c r="DO108" i="6"/>
  <c r="DM108" i="6"/>
  <c r="DE108" i="6"/>
  <c r="DD108" i="6"/>
  <c r="DB108" i="6"/>
  <c r="CV108" i="6"/>
  <c r="CU108" i="6"/>
  <c r="CT108" i="6"/>
  <c r="CR108" i="6"/>
  <c r="CN108" i="6"/>
  <c r="CK108" i="6"/>
  <c r="CJ108" i="6"/>
  <c r="BZ108" i="6"/>
  <c r="BV108" i="6"/>
  <c r="BS108" i="6"/>
  <c r="BL108" i="6"/>
  <c r="BG108" i="6"/>
  <c r="BA108" i="6"/>
  <c r="AZ108" i="6"/>
  <c r="AW108" i="6"/>
  <c r="AU108" i="6"/>
  <c r="AS108" i="6"/>
  <c r="AE108" i="6"/>
  <c r="Z108" i="6"/>
  <c r="S108" i="6"/>
  <c r="G108" i="6"/>
  <c r="F108" i="6"/>
  <c r="E108" i="6"/>
  <c r="GL107" i="6"/>
  <c r="FJ107" i="6"/>
  <c r="ET107" i="6"/>
  <c r="EL107" i="6"/>
  <c r="DD107" i="6"/>
  <c r="BY107" i="6"/>
  <c r="BN107" i="6"/>
  <c r="AY107" i="6"/>
  <c r="AU107" i="6"/>
  <c r="AT107" i="6"/>
  <c r="Z107" i="6"/>
  <c r="S107" i="6"/>
  <c r="H107" i="6"/>
  <c r="E107" i="6"/>
  <c r="HF106" i="6"/>
  <c r="HD106" i="6"/>
  <c r="HC106" i="6"/>
  <c r="GZ106" i="6"/>
  <c r="GV106" i="6"/>
  <c r="GU106" i="6"/>
  <c r="GT106" i="6"/>
  <c r="GR106" i="6"/>
  <c r="GQ106" i="6"/>
  <c r="GP106" i="6"/>
  <c r="GN106" i="6"/>
  <c r="GM106" i="6"/>
  <c r="GL106" i="6"/>
  <c r="GJ106" i="6"/>
  <c r="GI106" i="6"/>
  <c r="GH106" i="6"/>
  <c r="GF106" i="6"/>
  <c r="GE106" i="6"/>
  <c r="GD106" i="6"/>
  <c r="GB106" i="6"/>
  <c r="FX106" i="6"/>
  <c r="FT106" i="6"/>
  <c r="FP106" i="6"/>
  <c r="FO106" i="6"/>
  <c r="FN106" i="6"/>
  <c r="FL106" i="6"/>
  <c r="FK106" i="6"/>
  <c r="FJ106" i="6"/>
  <c r="FH106" i="6"/>
  <c r="FG106" i="6"/>
  <c r="FF106" i="6"/>
  <c r="FD106" i="6"/>
  <c r="EZ106" i="6"/>
  <c r="EY106" i="6"/>
  <c r="EV106" i="6"/>
  <c r="EU106" i="6"/>
  <c r="ET106" i="6"/>
  <c r="ER106" i="6"/>
  <c r="EN106" i="6"/>
  <c r="EM106" i="6"/>
  <c r="EL106" i="6"/>
  <c r="EJ106" i="6"/>
  <c r="EI106" i="6"/>
  <c r="EH106" i="6"/>
  <c r="EF106" i="6"/>
  <c r="EB106" i="6"/>
  <c r="EA106" i="6"/>
  <c r="DZ106" i="6"/>
  <c r="DX106" i="6"/>
  <c r="DT106" i="6"/>
  <c r="DP106" i="6"/>
  <c r="DO106" i="6"/>
  <c r="DM106" i="6"/>
  <c r="DF106" i="6"/>
  <c r="DE106" i="6"/>
  <c r="DD106" i="6"/>
  <c r="DB106" i="6"/>
  <c r="CX106" i="6"/>
  <c r="CV106" i="6"/>
  <c r="CU106" i="6"/>
  <c r="CT106" i="6"/>
  <c r="CR106" i="6"/>
  <c r="CN106" i="6"/>
  <c r="CM106" i="6"/>
  <c r="CK106" i="6"/>
  <c r="CJ106" i="6"/>
  <c r="CG106" i="6"/>
  <c r="BZ106" i="6"/>
  <c r="BY106" i="6"/>
  <c r="BW106" i="6"/>
  <c r="BV106" i="6"/>
  <c r="BU106" i="6"/>
  <c r="BS106" i="6"/>
  <c r="BO106" i="6"/>
  <c r="BN106" i="6"/>
  <c r="BL106" i="6"/>
  <c r="BG106" i="6"/>
  <c r="BC106" i="6"/>
  <c r="BA106" i="6"/>
  <c r="AZ106" i="6"/>
  <c r="AY106" i="6"/>
  <c r="AW106" i="6"/>
  <c r="AU106" i="6"/>
  <c r="AT106" i="6"/>
  <c r="AS106" i="6"/>
  <c r="AR106" i="6"/>
  <c r="AE106" i="6"/>
  <c r="AD106" i="6"/>
  <c r="Z106" i="6"/>
  <c r="Y106" i="6"/>
  <c r="S106" i="6"/>
  <c r="R106" i="6"/>
  <c r="Q106" i="6"/>
  <c r="P106" i="6"/>
  <c r="J106" i="6"/>
  <c r="H106" i="6"/>
  <c r="G106" i="6"/>
  <c r="F106" i="6"/>
  <c r="E106" i="6"/>
  <c r="HF105" i="6"/>
  <c r="HD105" i="6"/>
  <c r="HC105" i="6"/>
  <c r="GZ105" i="6"/>
  <c r="GV105" i="6"/>
  <c r="GU105" i="6"/>
  <c r="GT105" i="6"/>
  <c r="GR105" i="6"/>
  <c r="GN105" i="6"/>
  <c r="GJ105" i="6"/>
  <c r="GI105" i="6"/>
  <c r="GH105" i="6"/>
  <c r="GF105" i="6"/>
  <c r="GE105" i="6"/>
  <c r="GD105" i="6"/>
  <c r="GB105" i="6"/>
  <c r="FX105" i="6"/>
  <c r="FT105" i="6"/>
  <c r="FP105" i="6"/>
  <c r="FO105" i="6"/>
  <c r="FN105" i="6"/>
  <c r="FL105" i="6"/>
  <c r="FK105" i="6"/>
  <c r="FJ105" i="6"/>
  <c r="FH105" i="6"/>
  <c r="FD105" i="6"/>
  <c r="EZ105" i="6"/>
  <c r="EY105" i="6"/>
  <c r="EV105" i="6"/>
  <c r="ER105" i="6"/>
  <c r="EN105" i="6"/>
  <c r="EJ105" i="6"/>
  <c r="EF105" i="6"/>
  <c r="EB105" i="6"/>
  <c r="DX105" i="6"/>
  <c r="DT105" i="6"/>
  <c r="DP105" i="6"/>
  <c r="DO105" i="6"/>
  <c r="DM105" i="6"/>
  <c r="DF105" i="6"/>
  <c r="DE105" i="6"/>
  <c r="DD105" i="6"/>
  <c r="DB105" i="6"/>
  <c r="CX105" i="6"/>
  <c r="CV105" i="6"/>
  <c r="CR105" i="6"/>
  <c r="CK105" i="6"/>
  <c r="CJ105" i="6"/>
  <c r="CG105" i="6"/>
  <c r="BZ105" i="6"/>
  <c r="BY105" i="6"/>
  <c r="BW105" i="6"/>
  <c r="BS105" i="6"/>
  <c r="BO105" i="6"/>
  <c r="BN105" i="6"/>
  <c r="BL105" i="6"/>
  <c r="BC105" i="6"/>
  <c r="BA105" i="6"/>
  <c r="AZ105" i="6"/>
  <c r="AY105" i="6"/>
  <c r="AW105" i="6"/>
  <c r="AU105" i="6"/>
  <c r="AT105" i="6"/>
  <c r="AS105" i="6"/>
  <c r="AR105" i="6"/>
  <c r="J105" i="6"/>
  <c r="HH104" i="6"/>
  <c r="HF104" i="6"/>
  <c r="HD104" i="6"/>
  <c r="HC104" i="6"/>
  <c r="GZ104" i="6"/>
  <c r="GV104" i="6"/>
  <c r="GU104" i="6"/>
  <c r="GT104" i="6"/>
  <c r="GR104" i="6"/>
  <c r="GQ104" i="6"/>
  <c r="GN104" i="6"/>
  <c r="GJ104" i="6"/>
  <c r="GI104" i="6"/>
  <c r="GF104" i="6"/>
  <c r="GE104" i="6"/>
  <c r="GB104" i="6"/>
  <c r="GA104" i="6"/>
  <c r="FZ104" i="6"/>
  <c r="FX104" i="6"/>
  <c r="FT104" i="6"/>
  <c r="FS104" i="6"/>
  <c r="FP104" i="6"/>
  <c r="FL104" i="6"/>
  <c r="FH104" i="6"/>
  <c r="FD104" i="6"/>
  <c r="EZ104" i="6"/>
  <c r="EY104" i="6"/>
  <c r="EV104" i="6"/>
  <c r="ER104" i="6"/>
  <c r="EN104" i="6"/>
  <c r="EJ104" i="6"/>
  <c r="EF104" i="6"/>
  <c r="EB104" i="6"/>
  <c r="DX104" i="6"/>
  <c r="DT104" i="6"/>
  <c r="DM104" i="6"/>
  <c r="DF104" i="6"/>
  <c r="DE104" i="6"/>
  <c r="DD104" i="6"/>
  <c r="DB104" i="6"/>
  <c r="CV104" i="6"/>
  <c r="CR104" i="6"/>
  <c r="CK104" i="6"/>
  <c r="CJ104" i="6"/>
  <c r="CI104" i="6"/>
  <c r="CG104" i="6"/>
  <c r="CD104" i="6"/>
  <c r="CC104" i="6"/>
  <c r="BZ104" i="6"/>
  <c r="BW104" i="6"/>
  <c r="BV104" i="6"/>
  <c r="BU104" i="6"/>
  <c r="BS104" i="6"/>
  <c r="BL104" i="6"/>
  <c r="BA104" i="6"/>
  <c r="AZ104" i="6"/>
  <c r="AY104" i="6"/>
  <c r="AW104" i="6"/>
  <c r="AM104" i="6"/>
  <c r="AL104" i="6"/>
  <c r="AI104" i="6"/>
  <c r="AH104" i="6"/>
  <c r="J104" i="6"/>
  <c r="F104" i="6"/>
  <c r="HF101" i="6"/>
  <c r="HB101" i="6"/>
  <c r="GT101" i="6"/>
  <c r="FZ101" i="6"/>
  <c r="FR101" i="6"/>
  <c r="DH101" i="6"/>
  <c r="DD101" i="6"/>
  <c r="BQ101" i="6"/>
  <c r="BP101" i="6"/>
  <c r="BO101" i="6"/>
  <c r="BN101" i="6"/>
  <c r="BC101" i="6"/>
  <c r="HF100" i="6"/>
  <c r="GT100" i="6"/>
  <c r="GP100" i="6"/>
  <c r="GL100" i="6"/>
  <c r="GH100" i="6"/>
  <c r="GD100" i="6"/>
  <c r="FJ100" i="6"/>
  <c r="FF100" i="6"/>
  <c r="ET100" i="6"/>
  <c r="EH100" i="6"/>
  <c r="DO100" i="6"/>
  <c r="DD100" i="6"/>
  <c r="CX100" i="6"/>
  <c r="CT100" i="6"/>
  <c r="CM100" i="6"/>
  <c r="BY100" i="6"/>
  <c r="BU100" i="6"/>
  <c r="BO100" i="6"/>
  <c r="BN100" i="6"/>
  <c r="BH100" i="6"/>
  <c r="BG100" i="6"/>
  <c r="BC100" i="6"/>
  <c r="AY100" i="6"/>
  <c r="AU100" i="6"/>
  <c r="AT100" i="6"/>
  <c r="AS100" i="6"/>
  <c r="AR100" i="6"/>
  <c r="AD100" i="6"/>
  <c r="Z100" i="6"/>
  <c r="Y100" i="6"/>
  <c r="S100" i="6"/>
  <c r="R100" i="6"/>
  <c r="Q100" i="6"/>
  <c r="P100" i="6"/>
  <c r="H100" i="6"/>
  <c r="G100" i="6"/>
  <c r="F100" i="6"/>
  <c r="E100" i="6"/>
  <c r="HF97" i="6"/>
  <c r="GT97" i="6"/>
  <c r="FJ97" i="6"/>
  <c r="DZ97" i="6"/>
  <c r="DO97" i="6"/>
  <c r="DD97" i="6"/>
  <c r="CX97" i="6"/>
  <c r="CM97" i="6"/>
  <c r="BU97" i="6"/>
  <c r="BO97" i="6"/>
  <c r="BN97" i="6"/>
  <c r="BH97" i="6"/>
  <c r="AY97" i="6"/>
  <c r="AD97" i="6"/>
  <c r="Z97" i="6"/>
  <c r="S97" i="6"/>
  <c r="R97" i="6"/>
  <c r="Q97" i="6"/>
  <c r="P97" i="6"/>
  <c r="F97" i="6"/>
  <c r="HD96" i="6"/>
  <c r="HC96" i="6"/>
  <c r="GZ96" i="6"/>
  <c r="GV96" i="6"/>
  <c r="GU96" i="6"/>
  <c r="GR96" i="6"/>
  <c r="GN96" i="6"/>
  <c r="GJ96" i="6"/>
  <c r="GF96" i="6"/>
  <c r="GB96" i="6"/>
  <c r="FX96" i="6"/>
  <c r="FT96" i="6"/>
  <c r="FP96" i="6"/>
  <c r="FL96" i="6"/>
  <c r="FH96" i="6"/>
  <c r="FD96" i="6"/>
  <c r="EZ96" i="6"/>
  <c r="EY96" i="6"/>
  <c r="EV96" i="6"/>
  <c r="ER96" i="6"/>
  <c r="EN96" i="6"/>
  <c r="EJ96" i="6"/>
  <c r="EF96" i="6"/>
  <c r="EB96" i="6"/>
  <c r="DX96" i="6"/>
  <c r="DT96" i="6"/>
  <c r="DM96" i="6"/>
  <c r="DF96" i="6"/>
  <c r="DB96" i="6"/>
  <c r="CV96" i="6"/>
  <c r="CR96" i="6"/>
  <c r="CK96" i="6"/>
  <c r="CG96" i="6"/>
  <c r="BW96" i="6"/>
  <c r="BS96" i="6"/>
  <c r="BL96" i="6"/>
  <c r="BC96" i="6"/>
  <c r="BA96" i="6"/>
  <c r="AW96" i="6"/>
  <c r="J96" i="6"/>
  <c r="GT95" i="6"/>
  <c r="GP95" i="6"/>
  <c r="GL95" i="6"/>
  <c r="GH95" i="6"/>
  <c r="GD95" i="6"/>
  <c r="FN95" i="6"/>
  <c r="FJ95" i="6"/>
  <c r="FF95" i="6"/>
  <c r="ET95" i="6"/>
  <c r="EL95" i="6"/>
  <c r="EH95" i="6"/>
  <c r="DZ95" i="6"/>
  <c r="DO95" i="6"/>
  <c r="DD95" i="6"/>
  <c r="CT95" i="6"/>
  <c r="CM95" i="6"/>
  <c r="BY95" i="6"/>
  <c r="BU95" i="6"/>
  <c r="BN95" i="6"/>
  <c r="BG95" i="6"/>
  <c r="AY95" i="6"/>
  <c r="AU95" i="6"/>
  <c r="AT95" i="6"/>
  <c r="AS95" i="6"/>
  <c r="AR95" i="6"/>
  <c r="AD95" i="6"/>
  <c r="Z95" i="6"/>
  <c r="Y95" i="6"/>
  <c r="S95" i="6"/>
  <c r="R95" i="6"/>
  <c r="Q95" i="6"/>
  <c r="P95" i="6"/>
  <c r="H95" i="6"/>
  <c r="G95" i="6"/>
  <c r="F95" i="6"/>
  <c r="E95" i="6"/>
  <c r="HD94" i="6"/>
  <c r="HC94" i="6"/>
  <c r="GZ94" i="6"/>
  <c r="GV94" i="6"/>
  <c r="GU94" i="6"/>
  <c r="GR94" i="6"/>
  <c r="GN94" i="6"/>
  <c r="GJ94" i="6"/>
  <c r="GF94" i="6"/>
  <c r="GB94" i="6"/>
  <c r="FX94" i="6"/>
  <c r="FT94" i="6"/>
  <c r="FP94" i="6"/>
  <c r="FL94" i="6"/>
  <c r="FH94" i="6"/>
  <c r="FD94" i="6"/>
  <c r="EZ94" i="6"/>
  <c r="EY94" i="6"/>
  <c r="EV94" i="6"/>
  <c r="ER94" i="6"/>
  <c r="EN94" i="6"/>
  <c r="EJ94" i="6"/>
  <c r="EF94" i="6"/>
  <c r="EB94" i="6"/>
  <c r="DX94" i="6"/>
  <c r="DT94" i="6"/>
  <c r="DM94" i="6"/>
  <c r="DF94" i="6"/>
  <c r="DB94" i="6"/>
  <c r="CV94" i="6"/>
  <c r="CR94" i="6"/>
  <c r="CK94" i="6"/>
  <c r="CG94" i="6"/>
  <c r="BW94" i="6"/>
  <c r="BS94" i="6"/>
  <c r="BL94" i="6"/>
  <c r="BC94" i="6"/>
  <c r="BA94" i="6"/>
  <c r="AW94" i="6"/>
  <c r="J94" i="6"/>
  <c r="HD91" i="6"/>
  <c r="HC91" i="6"/>
  <c r="GZ91" i="6"/>
  <c r="GV91" i="6"/>
  <c r="GU91" i="6"/>
  <c r="GR91" i="6"/>
  <c r="GN91" i="6"/>
  <c r="GJ91" i="6"/>
  <c r="GF91" i="6"/>
  <c r="GB91" i="6"/>
  <c r="FX91" i="6"/>
  <c r="FT91" i="6"/>
  <c r="FP91" i="6"/>
  <c r="FL91" i="6"/>
  <c r="FH91" i="6"/>
  <c r="FD91" i="6"/>
  <c r="EZ91" i="6"/>
  <c r="EY91" i="6"/>
  <c r="EV91" i="6"/>
  <c r="ER91" i="6"/>
  <c r="EN91" i="6"/>
  <c r="EJ91" i="6"/>
  <c r="EF91" i="6"/>
  <c r="EB91" i="6"/>
  <c r="DX91" i="6"/>
  <c r="DT91" i="6"/>
  <c r="DM91" i="6"/>
  <c r="DF91" i="6"/>
  <c r="DB91" i="6"/>
  <c r="CV91" i="6"/>
  <c r="CR91" i="6"/>
  <c r="CK91" i="6"/>
  <c r="CG91" i="6"/>
  <c r="BW91" i="6"/>
  <c r="BS91" i="6"/>
  <c r="BL91" i="6"/>
  <c r="BA91" i="6"/>
  <c r="AW91" i="6"/>
  <c r="J91" i="6"/>
  <c r="HD90" i="6"/>
  <c r="HC90" i="6"/>
  <c r="GZ90" i="6"/>
  <c r="GV90" i="6"/>
  <c r="GU90" i="6"/>
  <c r="GR90" i="6"/>
  <c r="GN90" i="6"/>
  <c r="GJ90" i="6"/>
  <c r="GF90" i="6"/>
  <c r="GB90" i="6"/>
  <c r="FX90" i="6"/>
  <c r="FT90" i="6"/>
  <c r="FP90" i="6"/>
  <c r="FL90" i="6"/>
  <c r="FH90" i="6"/>
  <c r="FD90" i="6"/>
  <c r="EZ90" i="6"/>
  <c r="EY90" i="6"/>
  <c r="EV90" i="6"/>
  <c r="ER90" i="6"/>
  <c r="EN90" i="6"/>
  <c r="EJ90" i="6"/>
  <c r="EF90" i="6"/>
  <c r="EB90" i="6"/>
  <c r="DX90" i="6"/>
  <c r="DT90" i="6"/>
  <c r="DM90" i="6"/>
  <c r="DF90" i="6"/>
  <c r="DB90" i="6"/>
  <c r="CV90" i="6"/>
  <c r="CR90" i="6"/>
  <c r="CK90" i="6"/>
  <c r="CG90" i="6"/>
  <c r="BW90" i="6"/>
  <c r="BS90" i="6"/>
  <c r="BL90" i="6"/>
  <c r="BA90" i="6"/>
  <c r="AW90" i="6"/>
  <c r="J90" i="6"/>
  <c r="HD88" i="6"/>
  <c r="HC88" i="6"/>
  <c r="GZ88" i="6"/>
  <c r="GV88" i="6"/>
  <c r="GU88" i="6"/>
  <c r="GR88" i="6"/>
  <c r="GN88" i="6"/>
  <c r="GJ88" i="6"/>
  <c r="GF88" i="6"/>
  <c r="GB88" i="6"/>
  <c r="FX88" i="6"/>
  <c r="FT88" i="6"/>
  <c r="FP88" i="6"/>
  <c r="FL88" i="6"/>
  <c r="FH88" i="6"/>
  <c r="FD88" i="6"/>
  <c r="EZ88" i="6"/>
  <c r="EY88" i="6"/>
  <c r="EV88" i="6"/>
  <c r="ER88" i="6"/>
  <c r="EN88" i="6"/>
  <c r="EJ88" i="6"/>
  <c r="EF88" i="6"/>
  <c r="EB88" i="6"/>
  <c r="DX88" i="6"/>
  <c r="DT88" i="6"/>
  <c r="DM88" i="6"/>
  <c r="DF88" i="6"/>
  <c r="DB88" i="6"/>
  <c r="CV88" i="6"/>
  <c r="CR88" i="6"/>
  <c r="CK88" i="6"/>
  <c r="CG88" i="6"/>
  <c r="BW88" i="6"/>
  <c r="BS88" i="6"/>
  <c r="BL88" i="6"/>
  <c r="BA88" i="6"/>
  <c r="AW88" i="6"/>
  <c r="J88" i="6"/>
  <c r="HG87" i="6"/>
  <c r="HD87" i="6"/>
  <c r="HB87" i="6"/>
  <c r="GY87" i="6"/>
  <c r="GV87" i="6"/>
  <c r="GT87" i="6"/>
  <c r="GQ87" i="6"/>
  <c r="GN87" i="6"/>
  <c r="GI87" i="6"/>
  <c r="GF87" i="6"/>
  <c r="GA87" i="6"/>
  <c r="FZ87" i="6"/>
  <c r="FX87" i="6"/>
  <c r="FS87" i="6"/>
  <c r="FR87" i="6"/>
  <c r="FP87" i="6"/>
  <c r="FK87" i="6"/>
  <c r="FJ87" i="6"/>
  <c r="FH87" i="6"/>
  <c r="FG87" i="6"/>
  <c r="FF87" i="6"/>
  <c r="FD87" i="6"/>
  <c r="FC87" i="6"/>
  <c r="FB87" i="6"/>
  <c r="EZ87" i="6"/>
  <c r="EY87" i="6"/>
  <c r="EX87" i="6"/>
  <c r="EV87" i="6"/>
  <c r="EM87" i="6"/>
  <c r="EL87" i="6"/>
  <c r="EJ87" i="6"/>
  <c r="EE87" i="6"/>
  <c r="ED87" i="6"/>
  <c r="EB87" i="6"/>
  <c r="DX87" i="6"/>
  <c r="DI87" i="6"/>
  <c r="DH87" i="6"/>
  <c r="DF87" i="6"/>
  <c r="DE87" i="6"/>
  <c r="DD87" i="6"/>
  <c r="DB87" i="6"/>
  <c r="CY87" i="6"/>
  <c r="CX87" i="6"/>
  <c r="CV87" i="6"/>
  <c r="CU87" i="6"/>
  <c r="CT87" i="6"/>
  <c r="CR87" i="6"/>
  <c r="CN87" i="6"/>
  <c r="CM87" i="6"/>
  <c r="CK87" i="6"/>
  <c r="CJ87" i="6"/>
  <c r="BQ87" i="6"/>
  <c r="BA87" i="6"/>
  <c r="AY87" i="6"/>
  <c r="AU87" i="6"/>
  <c r="J87" i="6"/>
  <c r="HD86" i="6"/>
  <c r="HC86" i="6"/>
  <c r="GU86" i="6"/>
  <c r="GT86" i="6"/>
  <c r="GR86" i="6"/>
  <c r="GQ86" i="6"/>
  <c r="GP86" i="6"/>
  <c r="GN86" i="6"/>
  <c r="GJ86" i="6"/>
  <c r="GF86" i="6"/>
  <c r="GE86" i="6"/>
  <c r="GD86" i="6"/>
  <c r="GB86" i="6"/>
  <c r="FO86" i="6"/>
  <c r="FN86" i="6"/>
  <c r="FL86" i="6"/>
  <c r="FK86" i="6"/>
  <c r="FJ86" i="6"/>
  <c r="FH86" i="6"/>
  <c r="FG86" i="6"/>
  <c r="FF86" i="6"/>
  <c r="FD86" i="6"/>
  <c r="EY86" i="6"/>
  <c r="EU86" i="6"/>
  <c r="ET86" i="6"/>
  <c r="ER86" i="6"/>
  <c r="EJ86" i="6"/>
  <c r="EI86" i="6"/>
  <c r="EH86" i="6"/>
  <c r="EF86" i="6"/>
  <c r="DX86" i="6"/>
  <c r="DP86" i="6"/>
  <c r="DO86" i="6"/>
  <c r="DM86" i="6"/>
  <c r="DE86" i="6"/>
  <c r="DD86" i="6"/>
  <c r="DB86" i="6"/>
  <c r="CV86" i="6"/>
  <c r="CU86" i="6"/>
  <c r="CT86" i="6"/>
  <c r="CR86" i="6"/>
  <c r="CK86" i="6"/>
  <c r="BY86" i="6"/>
  <c r="BS86" i="6"/>
  <c r="BL86" i="6"/>
  <c r="BA86" i="6"/>
  <c r="AZ86" i="6"/>
  <c r="AY86" i="6"/>
  <c r="AW86" i="6"/>
  <c r="AS86" i="6"/>
  <c r="AR86" i="6"/>
  <c r="AE86" i="6"/>
  <c r="AD86" i="6"/>
  <c r="H86" i="6"/>
  <c r="G86" i="6"/>
  <c r="F86" i="6"/>
  <c r="E86" i="6"/>
  <c r="GT85" i="6"/>
  <c r="FZ85" i="6"/>
  <c r="DO85" i="6"/>
  <c r="DD85" i="6"/>
  <c r="CC85" i="6"/>
  <c r="BN85" i="6"/>
  <c r="AY85" i="6"/>
  <c r="AD85" i="6"/>
  <c r="FF71" i="6"/>
  <c r="EL71" i="6"/>
  <c r="EH71" i="6"/>
  <c r="DZ71" i="6"/>
  <c r="CT71" i="6"/>
  <c r="BU71" i="6"/>
  <c r="FF69" i="6"/>
  <c r="EL69" i="6"/>
  <c r="EH69" i="6"/>
  <c r="DZ69" i="6"/>
  <c r="CT69" i="6"/>
  <c r="BU69" i="6"/>
  <c r="W69" i="6"/>
  <c r="E61" i="6"/>
  <c r="EL58" i="6"/>
  <c r="DH58" i="6"/>
  <c r="Q58" i="6"/>
  <c r="P58" i="6"/>
  <c r="HH57" i="6"/>
  <c r="HG57" i="6"/>
  <c r="FW57" i="6"/>
  <c r="FV57" i="6"/>
  <c r="FO57" i="6"/>
  <c r="FN57" i="6"/>
  <c r="FN100" i="6" s="1"/>
  <c r="EM57" i="6"/>
  <c r="EL57" i="6"/>
  <c r="EL100" i="6" s="1"/>
  <c r="DZ57" i="6"/>
  <c r="DZ100" i="6" s="1"/>
  <c r="DW57" i="6"/>
  <c r="DV57" i="6"/>
  <c r="CC57" i="6"/>
  <c r="AE57" i="6"/>
  <c r="GQ56" i="6"/>
  <c r="GP56" i="6"/>
  <c r="FW56" i="6"/>
  <c r="FN56" i="6"/>
  <c r="EE56" i="6"/>
  <c r="ED56" i="6"/>
  <c r="EA56" i="6"/>
  <c r="DZ56" i="6"/>
  <c r="AZ56" i="6"/>
  <c r="AY56" i="6"/>
  <c r="AI56" i="6"/>
  <c r="AH56" i="6"/>
  <c r="EM55" i="6"/>
  <c r="EL55" i="6"/>
  <c r="EE55" i="6"/>
  <c r="ED55" i="6"/>
  <c r="DP55" i="6"/>
  <c r="DO55" i="6"/>
  <c r="DI55" i="6"/>
  <c r="CX55" i="6"/>
  <c r="CT55" i="6"/>
  <c r="CM55" i="6"/>
  <c r="AM55" i="6"/>
  <c r="AL55" i="6"/>
  <c r="FO54" i="6"/>
  <c r="FN54" i="6"/>
  <c r="FN101" i="6" s="1"/>
  <c r="FG54" i="6"/>
  <c r="FF54" i="6"/>
  <c r="EX54" i="6"/>
  <c r="EU54" i="6"/>
  <c r="ET54" i="6"/>
  <c r="ET101" i="6" s="1"/>
  <c r="EL54" i="6"/>
  <c r="EA54" i="6"/>
  <c r="DZ54" i="6"/>
  <c r="DP54" i="6"/>
  <c r="DO54" i="6"/>
  <c r="DO101" i="6" s="1"/>
  <c r="CM54" i="6"/>
  <c r="BH54" i="6"/>
  <c r="BG54" i="6"/>
  <c r="AZ54" i="6"/>
  <c r="AY54" i="6"/>
  <c r="AY101" i="6" s="1"/>
  <c r="AU54" i="6"/>
  <c r="AT54" i="6"/>
  <c r="AL54" i="6"/>
  <c r="AE54" i="6"/>
  <c r="X54" i="6"/>
  <c r="W54" i="6"/>
  <c r="AL53" i="6"/>
  <c r="HF52" i="6"/>
  <c r="HB52" i="6"/>
  <c r="GX52" i="6"/>
  <c r="GT52" i="6"/>
  <c r="GP52" i="6"/>
  <c r="GH52" i="6"/>
  <c r="GD52" i="6"/>
  <c r="FZ52" i="6"/>
  <c r="FV52" i="6"/>
  <c r="FR52" i="6"/>
  <c r="FN52" i="6"/>
  <c r="FJ52" i="6"/>
  <c r="FB52" i="6"/>
  <c r="EX52" i="6"/>
  <c r="ET52" i="6"/>
  <c r="EL52" i="6"/>
  <c r="EH52" i="6"/>
  <c r="DV52" i="6"/>
  <c r="DH52" i="6"/>
  <c r="DD52" i="6"/>
  <c r="CX52" i="6"/>
  <c r="CI52" i="6"/>
  <c r="CC52" i="6"/>
  <c r="BY52" i="6"/>
  <c r="BU52" i="6"/>
  <c r="BN52" i="6"/>
  <c r="BC52" i="6"/>
  <c r="AY52" i="6"/>
  <c r="AR52" i="6"/>
  <c r="AL52" i="6"/>
  <c r="AH52" i="6"/>
  <c r="AD52" i="6"/>
  <c r="L52" i="6"/>
  <c r="E52" i="6"/>
  <c r="GY51" i="6"/>
  <c r="GX51" i="6"/>
  <c r="GH51" i="6"/>
  <c r="FJ51" i="6"/>
  <c r="EM51" i="6"/>
  <c r="EL51" i="6"/>
  <c r="DW51" i="6"/>
  <c r="DV51" i="6"/>
  <c r="DI51" i="6"/>
  <c r="DH51" i="6"/>
  <c r="CY51" i="6"/>
  <c r="CX51" i="6"/>
  <c r="BV51" i="6"/>
  <c r="BU51" i="6"/>
  <c r="BQ51" i="6"/>
  <c r="BP51" i="6"/>
  <c r="BO51" i="6"/>
  <c r="BN51" i="6"/>
  <c r="AU51" i="6"/>
  <c r="AT51" i="6"/>
  <c r="AS51" i="6"/>
  <c r="AR51" i="6"/>
  <c r="AR50" i="6" s="1"/>
  <c r="AE51" i="6"/>
  <c r="AD51" i="6"/>
  <c r="S51" i="6"/>
  <c r="R51" i="6"/>
  <c r="H51" i="6"/>
  <c r="G51" i="6"/>
  <c r="F51" i="6"/>
  <c r="E51" i="6"/>
  <c r="GI50" i="6"/>
  <c r="GH50" i="6"/>
  <c r="FK50" i="6"/>
  <c r="FK51" i="6" s="1"/>
  <c r="EA50" i="6"/>
  <c r="DZ50" i="6"/>
  <c r="CT50" i="6"/>
  <c r="CT51" i="6" s="1"/>
  <c r="GM49" i="6"/>
  <c r="GL49" i="6"/>
  <c r="GL52" i="6" s="1"/>
  <c r="FG49" i="6"/>
  <c r="FF49" i="6"/>
  <c r="ET49" i="6"/>
  <c r="EQ49" i="6"/>
  <c r="EP49" i="6"/>
  <c r="EP52" i="6" s="1"/>
  <c r="EA49" i="6"/>
  <c r="DZ49" i="6"/>
  <c r="DZ52" i="6" s="1"/>
  <c r="DP49" i="6"/>
  <c r="DO49" i="6"/>
  <c r="DO52" i="6" s="1"/>
  <c r="CU49" i="6"/>
  <c r="CU51" i="6" s="1"/>
  <c r="CT49" i="6"/>
  <c r="CT52" i="6" s="1"/>
  <c r="CN49" i="6"/>
  <c r="CM49" i="6"/>
  <c r="CM52" i="6" s="1"/>
  <c r="BH49" i="6"/>
  <c r="BG49" i="6"/>
  <c r="BG52" i="6" s="1"/>
  <c r="AU49" i="6"/>
  <c r="AU50" i="6" s="1"/>
  <c r="AT49" i="6"/>
  <c r="AS49" i="6"/>
  <c r="AS50" i="6" s="1"/>
  <c r="AR49" i="6"/>
  <c r="X49" i="6"/>
  <c r="X51" i="6" s="1"/>
  <c r="W49" i="6"/>
  <c r="W52" i="6" s="1"/>
  <c r="Q49" i="6"/>
  <c r="P49" i="6"/>
  <c r="GM48" i="6"/>
  <c r="GM51" i="6" s="1"/>
  <c r="GL48" i="6"/>
  <c r="FG48" i="6"/>
  <c r="FF48" i="6"/>
  <c r="EU48" i="6"/>
  <c r="ET48" i="6"/>
  <c r="EA48" i="6"/>
  <c r="DZ48" i="6"/>
  <c r="DZ51" i="6" s="1"/>
  <c r="DP48" i="6"/>
  <c r="DP51" i="6" s="1"/>
  <c r="DO48" i="6"/>
  <c r="DO51" i="6" s="1"/>
  <c r="CT48" i="6"/>
  <c r="Q48" i="6"/>
  <c r="P48" i="6"/>
  <c r="P51" i="6" s="1"/>
  <c r="GY46" i="6"/>
  <c r="GX46" i="6"/>
  <c r="GQ46" i="6"/>
  <c r="GP46" i="6"/>
  <c r="GM46" i="6"/>
  <c r="GL46" i="6"/>
  <c r="FR46" i="6"/>
  <c r="FG46" i="6"/>
  <c r="FF46" i="6"/>
  <c r="FF51" i="6" s="1"/>
  <c r="EU46" i="6"/>
  <c r="EU51" i="6" s="1"/>
  <c r="ET46" i="6"/>
  <c r="ET51" i="6" s="1"/>
  <c r="EM46" i="6"/>
  <c r="EL46" i="6"/>
  <c r="EI46" i="6"/>
  <c r="EH46" i="6"/>
  <c r="EE46" i="6"/>
  <c r="ED46" i="6"/>
  <c r="EA46" i="6"/>
  <c r="DZ46" i="6"/>
  <c r="CU46" i="6"/>
  <c r="CT46" i="6"/>
  <c r="CN46" i="6"/>
  <c r="CN51" i="6" s="1"/>
  <c r="CM46" i="6"/>
  <c r="CM51" i="6" s="1"/>
  <c r="BV46" i="6"/>
  <c r="BU46" i="6"/>
  <c r="BJ46" i="6"/>
  <c r="BI46" i="6"/>
  <c r="BG46" i="6"/>
  <c r="AE46" i="6"/>
  <c r="AD46" i="6"/>
  <c r="X46" i="6"/>
  <c r="S46" i="6"/>
  <c r="R46" i="6"/>
  <c r="Q46" i="6"/>
  <c r="H46" i="6"/>
  <c r="G46" i="6"/>
  <c r="F46" i="6"/>
  <c r="E46" i="6"/>
  <c r="FS45" i="6"/>
  <c r="FS46" i="6" s="1"/>
  <c r="FR45" i="6"/>
  <c r="DI45" i="6"/>
  <c r="DH45" i="6"/>
  <c r="BH45" i="6"/>
  <c r="BH44" i="6"/>
  <c r="Z44" i="6"/>
  <c r="Z46" i="6" s="1"/>
  <c r="Y44" i="6"/>
  <c r="Y46" i="6" s="1"/>
  <c r="X44" i="6"/>
  <c r="W44" i="6"/>
  <c r="W46" i="6" s="1"/>
  <c r="P44" i="6"/>
  <c r="P46" i="6" s="1"/>
  <c r="GY42" i="6"/>
  <c r="GX42" i="6"/>
  <c r="GM42" i="6"/>
  <c r="GM104" i="6" s="1"/>
  <c r="GL42" i="6"/>
  <c r="FK42" i="6"/>
  <c r="FK104" i="6" s="1"/>
  <c r="FJ42" i="6"/>
  <c r="FJ104" i="6" s="1"/>
  <c r="FG42" i="6"/>
  <c r="FG104" i="6" s="1"/>
  <c r="FF42" i="6"/>
  <c r="EU42" i="6"/>
  <c r="ET42" i="6"/>
  <c r="EQ42" i="6"/>
  <c r="EQ104" i="6" s="1"/>
  <c r="EP42" i="6"/>
  <c r="EP104" i="6" s="1"/>
  <c r="EM42" i="6"/>
  <c r="EL42" i="6"/>
  <c r="EE42" i="6"/>
  <c r="ED42" i="6"/>
  <c r="EA42" i="6"/>
  <c r="EA104" i="6" s="1"/>
  <c r="DI42" i="6"/>
  <c r="DI104" i="6" s="1"/>
  <c r="DH42" i="6"/>
  <c r="DH104" i="6" s="1"/>
  <c r="CY42" i="6"/>
  <c r="CY104" i="6" s="1"/>
  <c r="CX42" i="6"/>
  <c r="CX104" i="6" s="1"/>
  <c r="CU42" i="6"/>
  <c r="CT42" i="6"/>
  <c r="BO42" i="6"/>
  <c r="BO104" i="6" s="1"/>
  <c r="BN42" i="6"/>
  <c r="BN104" i="6" s="1"/>
  <c r="BJ42" i="6"/>
  <c r="AU42" i="6"/>
  <c r="AT42" i="6"/>
  <c r="AE42" i="6"/>
  <c r="AE104" i="6" s="1"/>
  <c r="AD42" i="6"/>
  <c r="AD104" i="6" s="1"/>
  <c r="Z42" i="6"/>
  <c r="Z104" i="6" s="1"/>
  <c r="Y42" i="6"/>
  <c r="X42" i="6"/>
  <c r="X104" i="6" s="1"/>
  <c r="W42" i="6"/>
  <c r="W104" i="6" s="1"/>
  <c r="S42" i="6"/>
  <c r="S104" i="6" s="1"/>
  <c r="R42" i="6"/>
  <c r="R104" i="6" s="1"/>
  <c r="Q42" i="6"/>
  <c r="Q104" i="6" s="1"/>
  <c r="P42" i="6"/>
  <c r="P104" i="6" s="1"/>
  <c r="BJ41" i="6"/>
  <c r="BH41" i="6"/>
  <c r="BG41" i="6"/>
  <c r="AS41" i="6"/>
  <c r="AR41" i="6"/>
  <c r="DZ40" i="6"/>
  <c r="DZ42" i="6" s="1"/>
  <c r="DZ104" i="6" s="1"/>
  <c r="DP40" i="6"/>
  <c r="DP42" i="6" s="1"/>
  <c r="DP104" i="6" s="1"/>
  <c r="DO40" i="6"/>
  <c r="DO42" i="6" s="1"/>
  <c r="DO104" i="6" s="1"/>
  <c r="CN40" i="6"/>
  <c r="CN42" i="6" s="1"/>
  <c r="CN104" i="6" s="1"/>
  <c r="CM40" i="6"/>
  <c r="CM42" i="6" s="1"/>
  <c r="CM104" i="6" s="1"/>
  <c r="BQ40" i="6"/>
  <c r="BQ42" i="6" s="1"/>
  <c r="BP40" i="6"/>
  <c r="BP42" i="6" s="1"/>
  <c r="BP104" i="6" s="1"/>
  <c r="BJ40" i="6"/>
  <c r="BI40" i="6"/>
  <c r="BI42" i="6" s="1"/>
  <c r="BI104" i="6" s="1"/>
  <c r="BH40" i="6"/>
  <c r="BG40" i="6"/>
  <c r="AS40" i="6"/>
  <c r="AR40" i="6"/>
  <c r="AR42" i="6" s="1"/>
  <c r="AR104" i="6" s="1"/>
  <c r="HH37" i="6"/>
  <c r="HH94" i="6" s="1"/>
  <c r="HF37" i="6"/>
  <c r="HF35" i="6" s="1"/>
  <c r="GT37" i="6"/>
  <c r="GT96" i="6" s="1"/>
  <c r="GQ37" i="6"/>
  <c r="GQ96" i="6" s="1"/>
  <c r="GM37" i="6"/>
  <c r="GM96" i="6" s="1"/>
  <c r="GI37" i="6"/>
  <c r="GI96" i="6" s="1"/>
  <c r="GE37" i="6"/>
  <c r="GA37" i="6"/>
  <c r="GA96" i="6" s="1"/>
  <c r="FZ37" i="6"/>
  <c r="FS37" i="6"/>
  <c r="FS96" i="6" s="1"/>
  <c r="FK37" i="6"/>
  <c r="FK94" i="6" s="1"/>
  <c r="FJ37" i="6"/>
  <c r="FG37" i="6"/>
  <c r="FG96" i="6" s="1"/>
  <c r="EQ37" i="6"/>
  <c r="EQ96" i="6" s="1"/>
  <c r="EP37" i="6"/>
  <c r="EP96" i="6" s="1"/>
  <c r="EA37" i="6"/>
  <c r="EA94" i="6" s="1"/>
  <c r="DZ37" i="6"/>
  <c r="DZ94" i="6" s="1"/>
  <c r="DP37" i="6"/>
  <c r="DO37" i="6"/>
  <c r="DO96" i="6" s="1"/>
  <c r="DI37" i="6"/>
  <c r="DI96" i="6" s="1"/>
  <c r="DH37" i="6"/>
  <c r="DE37" i="6"/>
  <c r="DE96" i="6" s="1"/>
  <c r="DD37" i="6"/>
  <c r="DD96" i="6" s="1"/>
  <c r="CY37" i="6"/>
  <c r="CY96" i="6" s="1"/>
  <c r="CX37" i="6"/>
  <c r="CX96" i="6" s="1"/>
  <c r="CN37" i="6"/>
  <c r="CN96" i="6" s="1"/>
  <c r="CM37" i="6"/>
  <c r="CJ37" i="6"/>
  <c r="CJ94" i="6" s="1"/>
  <c r="CI37" i="6"/>
  <c r="CI94" i="6" s="1"/>
  <c r="CD37" i="6"/>
  <c r="CD94" i="6" s="1"/>
  <c r="CC37" i="6"/>
  <c r="CC94" i="6" s="1"/>
  <c r="BZ37" i="6"/>
  <c r="BZ94" i="6" s="1"/>
  <c r="BV37" i="6"/>
  <c r="BV94" i="6" s="1"/>
  <c r="BU37" i="6"/>
  <c r="BU94" i="6" s="1"/>
  <c r="BO37" i="6"/>
  <c r="BO94" i="6" s="1"/>
  <c r="BN37" i="6"/>
  <c r="BN96" i="6" s="1"/>
  <c r="BH37" i="6"/>
  <c r="BH96" i="6" s="1"/>
  <c r="BD37" i="6"/>
  <c r="AZ37" i="6"/>
  <c r="AZ96" i="6" s="1"/>
  <c r="AY37" i="6"/>
  <c r="AY94" i="6" s="1"/>
  <c r="AM37" i="6"/>
  <c r="AM94" i="6" s="1"/>
  <c r="AL37" i="6"/>
  <c r="AL96" i="6" s="1"/>
  <c r="AI37" i="6"/>
  <c r="AI94" i="6" s="1"/>
  <c r="AH37" i="6"/>
  <c r="AH96" i="6" s="1"/>
  <c r="AE37" i="6"/>
  <c r="AE94" i="6" s="1"/>
  <c r="AD37" i="6"/>
  <c r="AD96" i="6" s="1"/>
  <c r="Z37" i="6"/>
  <c r="Z94" i="6" s="1"/>
  <c r="X37" i="6"/>
  <c r="X94" i="6" s="1"/>
  <c r="W37" i="6"/>
  <c r="W96" i="6" s="1"/>
  <c r="S37" i="6"/>
  <c r="S94" i="6" s="1"/>
  <c r="R37" i="6"/>
  <c r="R94" i="6" s="1"/>
  <c r="Q37" i="6"/>
  <c r="Q94" i="6" s="1"/>
  <c r="P37" i="6"/>
  <c r="P96" i="6" s="1"/>
  <c r="F37" i="6"/>
  <c r="F96" i="6" s="1"/>
  <c r="FW36" i="6"/>
  <c r="FV36" i="6"/>
  <c r="FO36" i="6"/>
  <c r="EL36" i="6"/>
  <c r="DV36" i="6"/>
  <c r="CU36" i="6"/>
  <c r="AS36" i="6"/>
  <c r="Z36" i="6"/>
  <c r="Z96" i="6" s="1"/>
  <c r="Y36" i="6"/>
  <c r="M36" i="6"/>
  <c r="G36" i="6"/>
  <c r="HH35" i="6"/>
  <c r="GT35" i="6"/>
  <c r="GQ35" i="6"/>
  <c r="GM35" i="6"/>
  <c r="GI35" i="6"/>
  <c r="GA35" i="6"/>
  <c r="FZ35" i="6"/>
  <c r="FS35" i="6"/>
  <c r="FK35" i="6"/>
  <c r="FJ35" i="6"/>
  <c r="FG35" i="6"/>
  <c r="EA35" i="6"/>
  <c r="DZ35" i="6"/>
  <c r="DI35" i="6"/>
  <c r="DH35" i="6"/>
  <c r="DE35" i="6"/>
  <c r="DD35" i="6"/>
  <c r="CY35" i="6"/>
  <c r="CX35" i="6"/>
  <c r="CM35" i="6"/>
  <c r="CI35" i="6"/>
  <c r="BH35" i="6"/>
  <c r="BD35" i="6"/>
  <c r="AZ35" i="6"/>
  <c r="AY35" i="6"/>
  <c r="AM35" i="6"/>
  <c r="AL35" i="6"/>
  <c r="S35" i="6"/>
  <c r="Q35" i="6"/>
  <c r="P35" i="6"/>
  <c r="GE34" i="6"/>
  <c r="GD34" i="6"/>
  <c r="FW34" i="6"/>
  <c r="FV34" i="6"/>
  <c r="FO34" i="6"/>
  <c r="FN34" i="6"/>
  <c r="EU34" i="6"/>
  <c r="ET34" i="6"/>
  <c r="DW34" i="6"/>
  <c r="DV34" i="6"/>
  <c r="DP34" i="6"/>
  <c r="DO34" i="6"/>
  <c r="CE34" i="6"/>
  <c r="CD34" i="6"/>
  <c r="CC34" i="6"/>
  <c r="BY34" i="6"/>
  <c r="BV34" i="6"/>
  <c r="BU34" i="6"/>
  <c r="BU35" i="6" s="1"/>
  <c r="BO34" i="6"/>
  <c r="BN34" i="6"/>
  <c r="AS34" i="6"/>
  <c r="AR34" i="6"/>
  <c r="AI34" i="6"/>
  <c r="AH34" i="6"/>
  <c r="Z34" i="6"/>
  <c r="Y34" i="6"/>
  <c r="X34" i="6"/>
  <c r="W34" i="6"/>
  <c r="S34" i="6"/>
  <c r="R34" i="6"/>
  <c r="G34" i="6"/>
  <c r="FV33" i="6"/>
  <c r="FN33" i="6"/>
  <c r="EU33" i="6"/>
  <c r="ET33" i="6"/>
  <c r="EQ33" i="6"/>
  <c r="EP33" i="6"/>
  <c r="EI33" i="6"/>
  <c r="EH33" i="6"/>
  <c r="DV33" i="6"/>
  <c r="DP33" i="6"/>
  <c r="DO33" i="6"/>
  <c r="CE33" i="6"/>
  <c r="CD33" i="6"/>
  <c r="CC33" i="6"/>
  <c r="BZ33" i="6"/>
  <c r="BY33" i="6"/>
  <c r="BV33" i="6"/>
  <c r="BU33" i="6"/>
  <c r="BP33" i="6"/>
  <c r="BO33" i="6"/>
  <c r="BN33" i="6"/>
  <c r="BJ33" i="6"/>
  <c r="AT33" i="6"/>
  <c r="AS33" i="6"/>
  <c r="AR33" i="6"/>
  <c r="AI33" i="6"/>
  <c r="AH33" i="6"/>
  <c r="AE33" i="6"/>
  <c r="AE35" i="6" s="1"/>
  <c r="AD33" i="6"/>
  <c r="AD35" i="6" s="1"/>
  <c r="Z33" i="6"/>
  <c r="Y33" i="6"/>
  <c r="X33" i="6"/>
  <c r="W33" i="6"/>
  <c r="W35" i="6" s="1"/>
  <c r="S33" i="6"/>
  <c r="R33" i="6"/>
  <c r="R35" i="6" s="1"/>
  <c r="H33" i="6"/>
  <c r="G33" i="6"/>
  <c r="F33" i="6"/>
  <c r="F35" i="6" s="1"/>
  <c r="E33" i="6"/>
  <c r="HG30" i="6"/>
  <c r="HG37" i="6" s="1"/>
  <c r="HB30" i="6"/>
  <c r="HB29" i="6" s="1"/>
  <c r="GY30" i="6"/>
  <c r="GY120" i="6" s="1"/>
  <c r="GX30" i="6"/>
  <c r="GX37" i="6" s="1"/>
  <c r="GX94" i="6" s="1"/>
  <c r="GP30" i="6"/>
  <c r="GP37" i="6" s="1"/>
  <c r="GL30" i="6"/>
  <c r="GL29" i="6" s="1"/>
  <c r="GH30" i="6"/>
  <c r="GD30" i="6"/>
  <c r="FW30" i="6"/>
  <c r="FW37" i="6" s="1"/>
  <c r="FV30" i="6"/>
  <c r="FV29" i="6" s="1"/>
  <c r="FR30" i="6"/>
  <c r="FO30" i="6"/>
  <c r="FO37" i="6" s="1"/>
  <c r="FO94" i="6" s="1"/>
  <c r="FN30" i="6"/>
  <c r="FN29" i="6" s="1"/>
  <c r="FF30" i="6"/>
  <c r="FF97" i="6" s="1"/>
  <c r="FC30" i="6"/>
  <c r="FB30" i="6"/>
  <c r="FB37" i="6" s="1"/>
  <c r="EX30" i="6"/>
  <c r="EX37" i="6" s="1"/>
  <c r="EU30" i="6"/>
  <c r="EU120" i="6" s="1"/>
  <c r="ET30" i="6"/>
  <c r="ET29" i="6" s="1"/>
  <c r="EM30" i="6"/>
  <c r="EM120" i="6" s="1"/>
  <c r="EL30" i="6"/>
  <c r="EL29" i="6" s="1"/>
  <c r="EI30" i="6"/>
  <c r="EH30" i="6"/>
  <c r="EE30" i="6"/>
  <c r="EE120" i="6" s="1"/>
  <c r="ED30" i="6"/>
  <c r="DW30" i="6"/>
  <c r="DW29" i="6" s="1"/>
  <c r="DV30" i="6"/>
  <c r="CU30" i="6"/>
  <c r="CT30" i="6"/>
  <c r="CT37" i="6" s="1"/>
  <c r="CE30" i="6"/>
  <c r="CE29" i="6" s="1"/>
  <c r="BY30" i="6"/>
  <c r="BY37" i="6" s="1"/>
  <c r="BQ30" i="6"/>
  <c r="BQ120" i="6" s="1"/>
  <c r="BQ85" i="6" s="1"/>
  <c r="BP30" i="6"/>
  <c r="BJ30" i="6"/>
  <c r="BJ120" i="6" s="1"/>
  <c r="BJ85" i="6" s="1"/>
  <c r="BI30" i="6"/>
  <c r="BI37" i="6" s="1"/>
  <c r="BG30" i="6"/>
  <c r="BG37" i="6" s="1"/>
  <c r="BC30" i="6"/>
  <c r="AU30" i="6"/>
  <c r="AU120" i="6" s="1"/>
  <c r="AT30" i="6"/>
  <c r="AS30" i="6"/>
  <c r="AR30" i="6"/>
  <c r="AR29" i="6" s="1"/>
  <c r="AN30" i="6"/>
  <c r="AM120" i="6" s="1"/>
  <c r="Y30" i="6"/>
  <c r="M30" i="6"/>
  <c r="M37" i="6" s="1"/>
  <c r="L30" i="6"/>
  <c r="L37" i="6" s="1"/>
  <c r="H30" i="6"/>
  <c r="H37" i="6" s="1"/>
  <c r="G30" i="6"/>
  <c r="G37" i="6" s="1"/>
  <c r="E30" i="6"/>
  <c r="E37" i="6" s="1"/>
  <c r="HF29" i="6"/>
  <c r="GT29" i="6"/>
  <c r="GQ29" i="6"/>
  <c r="GP29" i="6"/>
  <c r="GM29" i="6"/>
  <c r="GI29" i="6"/>
  <c r="GH29" i="6"/>
  <c r="GE29" i="6"/>
  <c r="GD29" i="6"/>
  <c r="FR29" i="6"/>
  <c r="FK29" i="6"/>
  <c r="FJ29" i="6"/>
  <c r="FG29" i="6"/>
  <c r="EQ29" i="6"/>
  <c r="EI29" i="6"/>
  <c r="EH29" i="6"/>
  <c r="EA29" i="6"/>
  <c r="DZ29" i="6"/>
  <c r="DP29" i="6"/>
  <c r="DO29" i="6"/>
  <c r="DE29" i="6"/>
  <c r="DD29" i="6"/>
  <c r="CY29" i="6"/>
  <c r="CX29" i="6"/>
  <c r="CU29" i="6"/>
  <c r="CT29" i="6"/>
  <c r="CN29" i="6"/>
  <c r="CM29" i="6"/>
  <c r="CJ29" i="6"/>
  <c r="BZ29" i="6"/>
  <c r="BY29" i="6"/>
  <c r="BV29" i="6"/>
  <c r="BU29" i="6"/>
  <c r="BO29" i="6"/>
  <c r="BN29" i="6"/>
  <c r="BH29" i="6"/>
  <c r="AZ29" i="6"/>
  <c r="AY29" i="6"/>
  <c r="AU29" i="6"/>
  <c r="AT29" i="6"/>
  <c r="AS29" i="6"/>
  <c r="AL29" i="6"/>
  <c r="AE29" i="6"/>
  <c r="AD29" i="6"/>
  <c r="Z29" i="6"/>
  <c r="Y29" i="6"/>
  <c r="W29" i="6"/>
  <c r="S29" i="6"/>
  <c r="R29" i="6"/>
  <c r="Q29" i="6"/>
  <c r="P29" i="6"/>
  <c r="G29" i="6"/>
  <c r="F29" i="6"/>
  <c r="E29" i="6"/>
  <c r="HH28" i="6"/>
  <c r="HG28" i="6"/>
  <c r="HG29" i="6" s="1"/>
  <c r="HB28" i="6"/>
  <c r="GY28" i="6"/>
  <c r="GX28" i="6"/>
  <c r="GA28" i="6"/>
  <c r="GA29" i="6" s="1"/>
  <c r="FZ28" i="6"/>
  <c r="FZ29" i="6" s="1"/>
  <c r="FW28" i="6"/>
  <c r="FW29" i="6" s="1"/>
  <c r="FV28" i="6"/>
  <c r="FS28" i="6"/>
  <c r="FS29" i="6" s="1"/>
  <c r="FR28" i="6"/>
  <c r="FC28" i="6"/>
  <c r="FB28" i="6"/>
  <c r="EX28" i="6"/>
  <c r="EX29" i="6" s="1"/>
  <c r="EQ28" i="6"/>
  <c r="EP28" i="6"/>
  <c r="EP29" i="6" s="1"/>
  <c r="EE28" i="6"/>
  <c r="ED28" i="6"/>
  <c r="DW28" i="6"/>
  <c r="DV28" i="6"/>
  <c r="DV95" i="6" s="1"/>
  <c r="DI28" i="6"/>
  <c r="DI29" i="6" s="1"/>
  <c r="DH28" i="6"/>
  <c r="DH29" i="6" s="1"/>
  <c r="CY28" i="6"/>
  <c r="CI28" i="6"/>
  <c r="CI97" i="6" s="1"/>
  <c r="CE28" i="6"/>
  <c r="CE95" i="6" s="1"/>
  <c r="CD28" i="6"/>
  <c r="CD29" i="6" s="1"/>
  <c r="CC28" i="6"/>
  <c r="CC29" i="6" s="1"/>
  <c r="BQ28" i="6"/>
  <c r="BQ29" i="6" s="1"/>
  <c r="BP28" i="6"/>
  <c r="BJ28" i="6"/>
  <c r="BJ29" i="6" s="1"/>
  <c r="BI28" i="6"/>
  <c r="BI29" i="6" s="1"/>
  <c r="BD28" i="6"/>
  <c r="BD29" i="6" s="1"/>
  <c r="AN28" i="6"/>
  <c r="AM28" i="6"/>
  <c r="AM29" i="6" s="1"/>
  <c r="AL28" i="6"/>
  <c r="AI28" i="6"/>
  <c r="AI29" i="6" s="1"/>
  <c r="AH28" i="6"/>
  <c r="X28" i="6"/>
  <c r="X95" i="6" s="1"/>
  <c r="W28" i="6"/>
  <c r="M28" i="6"/>
  <c r="M29" i="6" s="1"/>
  <c r="L28" i="6"/>
  <c r="EM23" i="6"/>
  <c r="EM117" i="6" s="1"/>
  <c r="DO23" i="6"/>
  <c r="DO117" i="6" s="1"/>
  <c r="AS23" i="6"/>
  <c r="AS117" i="6" s="1"/>
  <c r="AE23" i="6"/>
  <c r="AE117" i="6" s="1"/>
  <c r="AD23" i="6"/>
  <c r="AD117" i="6" s="1"/>
  <c r="HH19" i="6"/>
  <c r="HG19" i="6"/>
  <c r="HB19" i="6"/>
  <c r="GY19" i="6"/>
  <c r="GY18" i="6" s="1"/>
  <c r="GX19" i="6"/>
  <c r="GT19" i="6"/>
  <c r="GT18" i="6" s="1"/>
  <c r="GQ19" i="6"/>
  <c r="GQ18" i="6" s="1"/>
  <c r="GP19" i="6"/>
  <c r="GP18" i="6" s="1"/>
  <c r="GI19" i="6"/>
  <c r="GI18" i="6" s="1"/>
  <c r="GE19" i="6"/>
  <c r="GD19" i="6"/>
  <c r="GD18" i="6" s="1"/>
  <c r="GA19" i="6"/>
  <c r="GA18" i="6" s="1"/>
  <c r="FZ19" i="6"/>
  <c r="FW19" i="6"/>
  <c r="FS19" i="6"/>
  <c r="FS18" i="6" s="1"/>
  <c r="FR19" i="6"/>
  <c r="FR18" i="6" s="1"/>
  <c r="FO19" i="6"/>
  <c r="FN19" i="6"/>
  <c r="FN18" i="6" s="1"/>
  <c r="FK19" i="6"/>
  <c r="FK18" i="6" s="1"/>
  <c r="FJ19" i="6"/>
  <c r="FJ18" i="6" s="1"/>
  <c r="FG19" i="6"/>
  <c r="FF19" i="6"/>
  <c r="FC19" i="6"/>
  <c r="FC18" i="6" s="1"/>
  <c r="FB19" i="6"/>
  <c r="FB18" i="6" s="1"/>
  <c r="EX19" i="6"/>
  <c r="ET19" i="6"/>
  <c r="ET18" i="6" s="1"/>
  <c r="EQ19" i="6"/>
  <c r="EQ18" i="6" s="1"/>
  <c r="EP19" i="6"/>
  <c r="EM19" i="6"/>
  <c r="EM18" i="6" s="1"/>
  <c r="EL19" i="6"/>
  <c r="EL18" i="6" s="1"/>
  <c r="EI19" i="6"/>
  <c r="EI18" i="6" s="1"/>
  <c r="EH19" i="6"/>
  <c r="EE19" i="6"/>
  <c r="EE18" i="6" s="1"/>
  <c r="ED19" i="6"/>
  <c r="DI19" i="6"/>
  <c r="DI18" i="6" s="1"/>
  <c r="DH19" i="6"/>
  <c r="DH18" i="6" s="1"/>
  <c r="CY19" i="6"/>
  <c r="CY18" i="6" s="1"/>
  <c r="CX19" i="6"/>
  <c r="CU19" i="6"/>
  <c r="CU18" i="6" s="1"/>
  <c r="CT19" i="6"/>
  <c r="CN19" i="6"/>
  <c r="CN18" i="6" s="1"/>
  <c r="CM19" i="6"/>
  <c r="CJ19" i="6"/>
  <c r="CJ18" i="6" s="1"/>
  <c r="CE19" i="6"/>
  <c r="CD19" i="6"/>
  <c r="CD18" i="6" s="1"/>
  <c r="CC19" i="6"/>
  <c r="BZ19" i="6"/>
  <c r="BZ18" i="6" s="1"/>
  <c r="BY19" i="6"/>
  <c r="BO19" i="6"/>
  <c r="BO18" i="6" s="1"/>
  <c r="BN19" i="6"/>
  <c r="BJ19" i="6"/>
  <c r="BJ18" i="6" s="1"/>
  <c r="BD19" i="6"/>
  <c r="BD18" i="6" s="1"/>
  <c r="BC19" i="6"/>
  <c r="AZ19" i="6"/>
  <c r="AY19" i="6"/>
  <c r="AU19" i="6"/>
  <c r="AU18" i="6" s="1"/>
  <c r="AT19" i="6"/>
  <c r="AN19" i="6"/>
  <c r="AN18" i="6" s="1"/>
  <c r="AI19" i="6"/>
  <c r="AH19" i="6"/>
  <c r="AH18" i="6" s="1"/>
  <c r="AE19" i="6"/>
  <c r="AD19" i="6"/>
  <c r="AD18" i="6" s="1"/>
  <c r="Z19" i="6"/>
  <c r="Y19" i="6"/>
  <c r="Y18" i="6" s="1"/>
  <c r="R19" i="6"/>
  <c r="G19" i="6"/>
  <c r="G18" i="6" s="1"/>
  <c r="E19" i="6"/>
  <c r="HF18" i="6"/>
  <c r="HF90" i="6" s="1"/>
  <c r="GX18" i="6"/>
  <c r="GE18" i="6"/>
  <c r="FZ18" i="6"/>
  <c r="FW18" i="6"/>
  <c r="FO18" i="6"/>
  <c r="FG18" i="6"/>
  <c r="EX18" i="6"/>
  <c r="EP18" i="6"/>
  <c r="EH18" i="6"/>
  <c r="EA18" i="6"/>
  <c r="DZ18" i="6"/>
  <c r="DP18" i="6"/>
  <c r="DO18" i="6"/>
  <c r="DE18" i="6"/>
  <c r="DD18" i="6"/>
  <c r="CX18" i="6"/>
  <c r="CT18" i="6"/>
  <c r="CM18" i="6"/>
  <c r="CE18" i="6"/>
  <c r="CC18" i="6"/>
  <c r="BY18" i="6"/>
  <c r="BV18" i="6"/>
  <c r="BU18" i="6"/>
  <c r="BQ18" i="6"/>
  <c r="BP18" i="6"/>
  <c r="BP91" i="6" s="1"/>
  <c r="BN18" i="6"/>
  <c r="BC18" i="6"/>
  <c r="AZ18" i="6"/>
  <c r="AY18" i="6"/>
  <c r="AT18" i="6"/>
  <c r="AI18" i="6"/>
  <c r="AE18" i="6"/>
  <c r="Z18" i="6"/>
  <c r="X18" i="6"/>
  <c r="W18" i="6"/>
  <c r="S18" i="6"/>
  <c r="R18" i="6"/>
  <c r="H18" i="6"/>
  <c r="F18" i="6"/>
  <c r="E18" i="6"/>
  <c r="Q17" i="6"/>
  <c r="Q116" i="6" s="1"/>
  <c r="Q108" i="6" s="1"/>
  <c r="P17" i="6"/>
  <c r="P116" i="6" s="1"/>
  <c r="P108" i="6" s="1"/>
  <c r="FG16" i="6"/>
  <c r="FF16" i="6"/>
  <c r="ED16" i="6"/>
  <c r="Q16" i="6"/>
  <c r="P16" i="6"/>
  <c r="HH14" i="6"/>
  <c r="HG14" i="6"/>
  <c r="GY14" i="6"/>
  <c r="GX14" i="6"/>
  <c r="GQ14" i="6"/>
  <c r="GP14" i="6"/>
  <c r="GE14" i="6"/>
  <c r="GD14" i="6"/>
  <c r="FW14" i="6"/>
  <c r="FV14" i="6"/>
  <c r="FV13" i="6" s="1"/>
  <c r="FK14" i="6"/>
  <c r="FJ14" i="6"/>
  <c r="FJ13" i="6" s="1"/>
  <c r="FG14" i="6"/>
  <c r="FF14" i="6"/>
  <c r="FF13" i="6" s="1"/>
  <c r="FC14" i="6"/>
  <c r="FB14" i="6"/>
  <c r="EX14" i="6"/>
  <c r="EI14" i="6"/>
  <c r="EH14" i="6"/>
  <c r="CY14" i="6"/>
  <c r="CX14" i="6"/>
  <c r="CU14" i="6"/>
  <c r="CT14" i="6"/>
  <c r="CE14" i="6"/>
  <c r="CE13" i="6" s="1"/>
  <c r="CD14" i="6"/>
  <c r="CD13" i="6" s="1"/>
  <c r="CC14" i="6"/>
  <c r="BZ14" i="6"/>
  <c r="BY14" i="6"/>
  <c r="BJ14" i="6"/>
  <c r="AS14" i="6"/>
  <c r="AR14" i="6"/>
  <c r="AR13" i="6" s="1"/>
  <c r="AI14" i="6"/>
  <c r="AH14" i="6"/>
  <c r="AE14" i="6"/>
  <c r="AE88" i="6" s="1"/>
  <c r="AD14" i="6"/>
  <c r="Z14" i="6"/>
  <c r="Y14" i="6"/>
  <c r="X14" i="6"/>
  <c r="X13" i="6" s="1"/>
  <c r="H14" i="6"/>
  <c r="G14" i="6"/>
  <c r="F14" i="6"/>
  <c r="E14" i="6"/>
  <c r="HF13" i="6"/>
  <c r="GY13" i="6"/>
  <c r="GP13" i="6"/>
  <c r="GE13" i="6"/>
  <c r="GA13" i="6"/>
  <c r="FZ13" i="6"/>
  <c r="FW13" i="6"/>
  <c r="FK13" i="6"/>
  <c r="FG13" i="6"/>
  <c r="EU13" i="6"/>
  <c r="ET13" i="6"/>
  <c r="EH13" i="6"/>
  <c r="EE13" i="6"/>
  <c r="ED13" i="6"/>
  <c r="DP13" i="6"/>
  <c r="DO13" i="6"/>
  <c r="DI13" i="6"/>
  <c r="DH13" i="6"/>
  <c r="DE13" i="6"/>
  <c r="DD13" i="6"/>
  <c r="CX13" i="6"/>
  <c r="CT13" i="6"/>
  <c r="BV13" i="6"/>
  <c r="BU13" i="6"/>
  <c r="BQ13" i="6"/>
  <c r="BP13" i="6"/>
  <c r="BO13" i="6"/>
  <c r="BN13" i="6"/>
  <c r="AZ13" i="6"/>
  <c r="AY13" i="6"/>
  <c r="AS13" i="6"/>
  <c r="AN13" i="6"/>
  <c r="AI13" i="6"/>
  <c r="AD13" i="6"/>
  <c r="Z13" i="6"/>
  <c r="H13" i="6"/>
  <c r="G13" i="6"/>
  <c r="F13" i="6"/>
  <c r="GX12" i="6"/>
  <c r="GM12" i="6"/>
  <c r="GL12" i="6"/>
  <c r="FF12" i="6"/>
  <c r="EX12" i="6"/>
  <c r="EX13" i="6" s="1"/>
  <c r="EM12" i="6"/>
  <c r="EL12" i="6"/>
  <c r="DZ12" i="6"/>
  <c r="BG12" i="6"/>
  <c r="HH9" i="6"/>
  <c r="HG9" i="6"/>
  <c r="HF9" i="6"/>
  <c r="HB9" i="6"/>
  <c r="GY9" i="6"/>
  <c r="GX9" i="6"/>
  <c r="GT9" i="6"/>
  <c r="GQ9" i="6"/>
  <c r="GP9" i="6"/>
  <c r="GE9" i="6"/>
  <c r="GD9" i="6"/>
  <c r="GA9" i="6"/>
  <c r="FZ9" i="6"/>
  <c r="FW9" i="6"/>
  <c r="FS9" i="6"/>
  <c r="FR9" i="6"/>
  <c r="FO9" i="6"/>
  <c r="FN9" i="6"/>
  <c r="FK9" i="6"/>
  <c r="FJ9" i="6"/>
  <c r="FG9" i="6"/>
  <c r="FF9" i="6"/>
  <c r="FF112" i="6" s="1"/>
  <c r="FC9" i="6"/>
  <c r="FB9" i="6"/>
  <c r="EX9" i="6"/>
  <c r="ET9" i="6"/>
  <c r="EI9" i="6"/>
  <c r="EH9" i="6"/>
  <c r="DP9" i="6"/>
  <c r="DO9" i="6"/>
  <c r="DI9" i="6"/>
  <c r="DH9" i="6"/>
  <c r="DE9" i="6"/>
  <c r="DD9" i="6"/>
  <c r="CY9" i="6"/>
  <c r="CX9" i="6"/>
  <c r="CU9" i="6"/>
  <c r="CT9" i="6"/>
  <c r="CE9" i="6"/>
  <c r="CD9" i="6"/>
  <c r="CC9" i="6"/>
  <c r="BZ9" i="6"/>
  <c r="BY9" i="6"/>
  <c r="BQ9" i="6"/>
  <c r="BP9" i="6"/>
  <c r="BO9" i="6"/>
  <c r="BN9" i="6"/>
  <c r="BJ9" i="6"/>
  <c r="BD9" i="6"/>
  <c r="BD21" i="6" s="1"/>
  <c r="BD24" i="6" s="1"/>
  <c r="BC9" i="6"/>
  <c r="AZ9" i="6"/>
  <c r="AY9" i="6"/>
  <c r="AI9" i="6"/>
  <c r="AH9" i="6"/>
  <c r="AE9" i="6"/>
  <c r="AD9" i="6"/>
  <c r="H9" i="6"/>
  <c r="G9" i="6"/>
  <c r="F9" i="6"/>
  <c r="E9" i="6"/>
  <c r="GM8" i="6"/>
  <c r="GM87" i="6" s="1"/>
  <c r="GL8" i="6"/>
  <c r="GH8" i="6"/>
  <c r="FV8" i="6"/>
  <c r="EU8" i="6"/>
  <c r="EU19" i="6" s="1"/>
  <c r="EU18" i="6" s="1"/>
  <c r="EA8" i="6"/>
  <c r="EA87" i="6" s="1"/>
  <c r="DZ8" i="6"/>
  <c r="DZ87" i="6" s="1"/>
  <c r="DW8" i="6"/>
  <c r="DV8" i="6"/>
  <c r="CI8" i="6"/>
  <c r="BI8" i="6"/>
  <c r="BH8" i="6"/>
  <c r="BG8" i="6"/>
  <c r="BG87" i="6" s="1"/>
  <c r="AS8" i="6"/>
  <c r="AS9" i="6" s="1"/>
  <c r="AR8" i="6"/>
  <c r="AM8" i="6"/>
  <c r="AL8" i="6"/>
  <c r="AL87" i="6" s="1"/>
  <c r="M8" i="6"/>
  <c r="L8" i="6"/>
  <c r="L87" i="6" s="1"/>
  <c r="GM7" i="6"/>
  <c r="GL7" i="6"/>
  <c r="GL86" i="6" s="1"/>
  <c r="GI7" i="6"/>
  <c r="GI86" i="6" s="1"/>
  <c r="GH7" i="6"/>
  <c r="EQ7" i="6"/>
  <c r="EP7" i="6"/>
  <c r="EP9" i="6" s="1"/>
  <c r="EM7" i="6"/>
  <c r="EL7" i="6"/>
  <c r="EL9" i="6" s="1"/>
  <c r="EE7" i="6"/>
  <c r="ED7" i="6"/>
  <c r="ED101" i="6" s="1"/>
  <c r="EA7" i="6"/>
  <c r="EA86" i="6" s="1"/>
  <c r="DZ7" i="6"/>
  <c r="DW7" i="6"/>
  <c r="DV7" i="6"/>
  <c r="DV9" i="6" s="1"/>
  <c r="CN7" i="6"/>
  <c r="CN14" i="6" s="1"/>
  <c r="CM7" i="6"/>
  <c r="CM14" i="6" s="1"/>
  <c r="CJ7" i="6"/>
  <c r="CI7" i="6"/>
  <c r="BV7" i="6"/>
  <c r="BV86" i="6" s="1"/>
  <c r="BU7" i="6"/>
  <c r="BU9" i="6" s="1"/>
  <c r="BI7" i="6"/>
  <c r="BH7" i="6"/>
  <c r="BG7" i="6"/>
  <c r="BG14" i="6" s="1"/>
  <c r="AU7" i="6"/>
  <c r="AU9" i="6" s="1"/>
  <c r="AT7" i="6"/>
  <c r="AN7" i="6"/>
  <c r="AN9" i="6" s="1"/>
  <c r="AN21" i="6" s="1"/>
  <c r="AN24" i="6" s="1"/>
  <c r="AM7" i="6"/>
  <c r="AL7" i="6"/>
  <c r="AL9" i="6" s="1"/>
  <c r="Z7" i="6"/>
  <c r="Z9" i="6" s="1"/>
  <c r="Y7" i="6"/>
  <c r="Y86" i="6" s="1"/>
  <c r="X7" i="6"/>
  <c r="W7" i="6"/>
  <c r="W14" i="6" s="1"/>
  <c r="S7" i="6"/>
  <c r="R7" i="6"/>
  <c r="R86" i="6" s="1"/>
  <c r="Q7" i="6"/>
  <c r="P7" i="6"/>
  <c r="P9" i="6" s="1"/>
  <c r="M7" i="6"/>
  <c r="M9" i="6" s="1"/>
  <c r="L7" i="6"/>
  <c r="L14" i="6" s="1"/>
  <c r="HH5" i="6"/>
  <c r="HG5" i="6"/>
  <c r="HF5" i="6"/>
  <c r="HE5" i="6"/>
  <c r="HD5" i="6"/>
  <c r="HC5" i="6"/>
  <c r="HB5" i="6"/>
  <c r="HA5" i="6"/>
  <c r="GZ5" i="6"/>
  <c r="GY5" i="6"/>
  <c r="GX5" i="6"/>
  <c r="GW5" i="6"/>
  <c r="GV5" i="6"/>
  <c r="GU5" i="6"/>
  <c r="GT5" i="6"/>
  <c r="GS5" i="6"/>
  <c r="GR5" i="6"/>
  <c r="GQ5" i="6"/>
  <c r="GP5" i="6"/>
  <c r="GO5" i="6"/>
  <c r="GN5" i="6"/>
  <c r="GM5" i="6"/>
  <c r="GL5" i="6"/>
  <c r="GK5" i="6"/>
  <c r="GJ5" i="6"/>
  <c r="GI5" i="6"/>
  <c r="GH5" i="6"/>
  <c r="GG5" i="6"/>
  <c r="GF5" i="6"/>
  <c r="GE5" i="6"/>
  <c r="GD5" i="6"/>
  <c r="GC5" i="6"/>
  <c r="GB5" i="6"/>
  <c r="GA5" i="6"/>
  <c r="FZ5" i="6"/>
  <c r="FX5" i="6"/>
  <c r="FW5" i="6"/>
  <c r="FV5" i="6"/>
  <c r="FU5" i="6"/>
  <c r="FT5" i="6"/>
  <c r="FS5" i="6"/>
  <c r="FR5" i="6"/>
  <c r="FQ5" i="6"/>
  <c r="FP5" i="6"/>
  <c r="FO5" i="6"/>
  <c r="FN5" i="6"/>
  <c r="FM5" i="6"/>
  <c r="FL5" i="6"/>
  <c r="FK5" i="6"/>
  <c r="FJ5" i="6"/>
  <c r="FI5" i="6"/>
  <c r="FH5" i="6"/>
  <c r="FG5" i="6"/>
  <c r="FF5" i="6"/>
  <c r="FE5" i="6"/>
  <c r="FD5" i="6"/>
  <c r="FC5" i="6"/>
  <c r="FB5" i="6"/>
  <c r="FA5" i="6"/>
  <c r="EZ5" i="6"/>
  <c r="EY5" i="6"/>
  <c r="EX5" i="6"/>
  <c r="EW5" i="6"/>
  <c r="EV5" i="6"/>
  <c r="EU5" i="6"/>
  <c r="ET5" i="6"/>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I5" i="6"/>
  <c r="DH5" i="6"/>
  <c r="DG5" i="6"/>
  <c r="DF5" i="6"/>
  <c r="DE5" i="6"/>
  <c r="DD5" i="6"/>
  <c r="DC5" i="6"/>
  <c r="DB5" i="6"/>
  <c r="CY5" i="6"/>
  <c r="CX5" i="6"/>
  <c r="CW5" i="6"/>
  <c r="CV5" i="6"/>
  <c r="CU5" i="6"/>
  <c r="CT5" i="6"/>
  <c r="CS5" i="6"/>
  <c r="CR5" i="6"/>
  <c r="CQ5" i="6"/>
  <c r="CP5" i="6"/>
  <c r="CO5" i="6"/>
  <c r="CN5" i="6"/>
  <c r="CM5" i="6"/>
  <c r="CL5" i="6"/>
  <c r="CK5" i="6"/>
  <c r="CJ5" i="6"/>
  <c r="CI5" i="6"/>
  <c r="CH5" i="6"/>
  <c r="CG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U5" i="6"/>
  <c r="AT5" i="6"/>
  <c r="AS5" i="6"/>
  <c r="AR5" i="6"/>
  <c r="AQ5" i="6"/>
  <c r="AP5" i="6"/>
  <c r="AO5" i="6"/>
  <c r="AN5" i="6"/>
  <c r="AM5" i="6"/>
  <c r="AL5" i="6"/>
  <c r="AK5" i="6"/>
  <c r="AJ5" i="6"/>
  <c r="AI5" i="6"/>
  <c r="AH5" i="6"/>
  <c r="AG5" i="6"/>
  <c r="AF5" i="6"/>
  <c r="AE5" i="6"/>
  <c r="AD5" i="6"/>
  <c r="AC5" i="6"/>
  <c r="AB5" i="6"/>
  <c r="Z5" i="6"/>
  <c r="Y5" i="6"/>
  <c r="X5" i="6"/>
  <c r="W5" i="6"/>
  <c r="V5" i="6"/>
  <c r="U5" i="6"/>
  <c r="T5" i="6"/>
  <c r="S5" i="6"/>
  <c r="R5" i="6"/>
  <c r="Q5" i="6"/>
  <c r="P5" i="6"/>
  <c r="O5" i="6"/>
  <c r="N5" i="6"/>
  <c r="M5" i="6"/>
  <c r="L5" i="6"/>
  <c r="K5" i="6"/>
  <c r="J5" i="6"/>
  <c r="H5" i="6"/>
  <c r="G5" i="6"/>
  <c r="F5" i="6"/>
  <c r="E5" i="6"/>
  <c r="D5" i="6"/>
  <c r="E94" i="6" l="1"/>
  <c r="E35" i="6"/>
  <c r="M94" i="6"/>
  <c r="M35" i="6"/>
  <c r="BG94" i="6"/>
  <c r="BG35" i="6"/>
  <c r="FB96" i="6"/>
  <c r="FB35" i="6"/>
  <c r="R9" i="6"/>
  <c r="ED9" i="6"/>
  <c r="CY88" i="6"/>
  <c r="GQ88" i="6"/>
  <c r="CU120" i="6"/>
  <c r="CU37" i="6"/>
  <c r="AH35" i="6"/>
  <c r="DO35" i="6"/>
  <c r="AO18" i="7"/>
  <c r="V37" i="7"/>
  <c r="V35" i="7" s="1"/>
  <c r="AX37" i="8"/>
  <c r="AX29" i="8"/>
  <c r="M88" i="9"/>
  <c r="M13" i="9"/>
  <c r="M90" i="9" s="1"/>
  <c r="AQ18" i="9"/>
  <c r="V85" i="9"/>
  <c r="V83" i="9"/>
  <c r="CU88" i="6"/>
  <c r="GL14" i="6"/>
  <c r="BY91" i="6"/>
  <c r="GX35" i="6"/>
  <c r="CU104" i="6"/>
  <c r="BF35" i="7"/>
  <c r="V107" i="9"/>
  <c r="V91" i="9"/>
  <c r="BH9" i="6"/>
  <c r="CI9" i="6"/>
  <c r="Y9" i="6"/>
  <c r="BG9" i="6"/>
  <c r="BV9" i="6"/>
  <c r="GQ13" i="6"/>
  <c r="R14" i="6"/>
  <c r="FC88" i="6"/>
  <c r="BC91" i="6"/>
  <c r="BG19" i="6"/>
  <c r="BG18" i="6" s="1"/>
  <c r="ED18" i="6"/>
  <c r="AH95" i="6"/>
  <c r="AN29" i="6"/>
  <c r="BP95" i="6"/>
  <c r="EE29" i="6"/>
  <c r="FV95" i="6"/>
  <c r="H29" i="6"/>
  <c r="X29" i="6"/>
  <c r="BG29" i="6"/>
  <c r="EM29" i="6"/>
  <c r="FO29" i="6"/>
  <c r="BP29" i="6"/>
  <c r="DV29" i="6"/>
  <c r="ED29" i="6"/>
  <c r="FC29" i="6"/>
  <c r="X35" i="6"/>
  <c r="AI35" i="6"/>
  <c r="CC35" i="6"/>
  <c r="DP35" i="6"/>
  <c r="Z35" i="6"/>
  <c r="BZ35" i="6"/>
  <c r="CJ35" i="6"/>
  <c r="CN35" i="6"/>
  <c r="FO35" i="6"/>
  <c r="BQ37" i="6"/>
  <c r="EM104" i="6"/>
  <c r="EA51" i="6"/>
  <c r="R108" i="6"/>
  <c r="R107" i="6"/>
  <c r="Y108" i="6"/>
  <c r="Y107" i="6"/>
  <c r="BW108" i="6"/>
  <c r="BW86" i="6"/>
  <c r="I88" i="7"/>
  <c r="AT9" i="7"/>
  <c r="AT88" i="7" s="1"/>
  <c r="BB21" i="7"/>
  <c r="BB24" i="7" s="1"/>
  <c r="I13" i="7"/>
  <c r="AH13" i="7"/>
  <c r="BC121" i="7"/>
  <c r="BE29" i="7"/>
  <c r="CC104" i="7"/>
  <c r="BJ51" i="7"/>
  <c r="BJ16" i="7"/>
  <c r="CC95" i="7"/>
  <c r="AD108" i="7"/>
  <c r="AD86" i="7"/>
  <c r="AP108" i="7"/>
  <c r="AP86" i="7"/>
  <c r="BQ108" i="7"/>
  <c r="BQ86" i="7"/>
  <c r="BW108" i="7"/>
  <c r="BW86" i="7"/>
  <c r="BZ108" i="7"/>
  <c r="BZ86" i="7"/>
  <c r="S88" i="8"/>
  <c r="AX13" i="8"/>
  <c r="BF85" i="8"/>
  <c r="BF83" i="8"/>
  <c r="AU108" i="8"/>
  <c r="AU86" i="8"/>
  <c r="AX108" i="8"/>
  <c r="AX86" i="8"/>
  <c r="AZ108" i="8"/>
  <c r="AZ86" i="8"/>
  <c r="BC108" i="8"/>
  <c r="BC86" i="8"/>
  <c r="BF108" i="8"/>
  <c r="BF86" i="8"/>
  <c r="BP108" i="8"/>
  <c r="BP86" i="8"/>
  <c r="BS108" i="8"/>
  <c r="BS86" i="8"/>
  <c r="CE108" i="8"/>
  <c r="CE86" i="8"/>
  <c r="CH108" i="8"/>
  <c r="CH86" i="8"/>
  <c r="CZ108" i="8"/>
  <c r="CZ86" i="8"/>
  <c r="DC108" i="8"/>
  <c r="DC86" i="8"/>
  <c r="AB87" i="9"/>
  <c r="AF87" i="9"/>
  <c r="AF9" i="9"/>
  <c r="AF96" i="9"/>
  <c r="AF35" i="9"/>
  <c r="AS42" i="6"/>
  <c r="AS104" i="6" s="1"/>
  <c r="BH42" i="6"/>
  <c r="BH104" i="6" s="1"/>
  <c r="BQ104" i="6"/>
  <c r="BG42" i="6"/>
  <c r="BG104" i="6" s="1"/>
  <c r="GX104" i="6"/>
  <c r="Q51" i="6"/>
  <c r="GL51" i="6"/>
  <c r="AT50" i="6"/>
  <c r="AD107" i="6"/>
  <c r="CT107" i="6"/>
  <c r="GD107" i="6"/>
  <c r="GT107" i="6"/>
  <c r="AL9" i="7"/>
  <c r="AX9" i="7"/>
  <c r="BF9" i="7"/>
  <c r="Q87" i="7"/>
  <c r="AD13" i="7"/>
  <c r="J88" i="7"/>
  <c r="AC116" i="7"/>
  <c r="AC108" i="7" s="1"/>
  <c r="V18" i="7"/>
  <c r="AP18" i="7"/>
  <c r="CD19" i="7"/>
  <c r="CD18" i="7" s="1"/>
  <c r="BQ21" i="7"/>
  <c r="BQ24" i="7" s="1"/>
  <c r="Y29" i="7"/>
  <c r="AC35" i="7"/>
  <c r="CD35" i="7"/>
  <c r="AW37" i="7"/>
  <c r="AW35" i="7" s="1"/>
  <c r="AC104" i="7"/>
  <c r="BJ104" i="7"/>
  <c r="U51" i="7"/>
  <c r="AC52" i="7"/>
  <c r="CC100" i="7"/>
  <c r="AA86" i="8"/>
  <c r="CQ87" i="8"/>
  <c r="DG87" i="8"/>
  <c r="J21" i="8"/>
  <c r="J24" i="8" s="1"/>
  <c r="DQ21" i="8"/>
  <c r="DQ24" i="8" s="1"/>
  <c r="AP29" i="8"/>
  <c r="DR29" i="8"/>
  <c r="CQ42" i="8"/>
  <c r="DV42" i="8"/>
  <c r="DV104" i="8" s="1"/>
  <c r="DU42" i="8"/>
  <c r="N51" i="8"/>
  <c r="Q50" i="9"/>
  <c r="AE87" i="9"/>
  <c r="AM85" i="9"/>
  <c r="AE9" i="9"/>
  <c r="J88" i="9"/>
  <c r="N88" i="9"/>
  <c r="AI88" i="9"/>
  <c r="AR88" i="9"/>
  <c r="W90" i="9"/>
  <c r="AE19" i="9"/>
  <c r="AE18" i="9" s="1"/>
  <c r="AR18" i="9"/>
  <c r="AR91" i="9" s="1"/>
  <c r="AM101" i="9"/>
  <c r="CQ9" i="8"/>
  <c r="S21" i="8"/>
  <c r="S24" i="8" s="1"/>
  <c r="AE9" i="8"/>
  <c r="AE112" i="8" s="1"/>
  <c r="AY21" i="8"/>
  <c r="AY24" i="8" s="1"/>
  <c r="CL21" i="8"/>
  <c r="CL24" i="8" s="1"/>
  <c r="DU18" i="8"/>
  <c r="M29" i="8"/>
  <c r="AH29" i="8"/>
  <c r="CD29" i="8"/>
  <c r="W35" i="8"/>
  <c r="AI35" i="8"/>
  <c r="CA35" i="8"/>
  <c r="CY13" i="8"/>
  <c r="CU18" i="8"/>
  <c r="AT29" i="8"/>
  <c r="BK29" i="8"/>
  <c r="BW29" i="8"/>
  <c r="CP9" i="8"/>
  <c r="AP35" i="8"/>
  <c r="AH19" i="8"/>
  <c r="CQ104" i="8"/>
  <c r="DU104" i="8"/>
  <c r="AH51" i="8"/>
  <c r="R21" i="8"/>
  <c r="R24" i="8" s="1"/>
  <c r="Z21" i="8"/>
  <c r="Z24" i="8" s="1"/>
  <c r="AX21" i="8"/>
  <c r="AX24" i="8" s="1"/>
  <c r="BK21" i="8"/>
  <c r="BK24" i="8" s="1"/>
  <c r="CA21" i="8"/>
  <c r="CA24" i="8" s="1"/>
  <c r="DR21" i="8"/>
  <c r="DR24" i="8" s="1"/>
  <c r="S13" i="8"/>
  <c r="AQ14" i="8"/>
  <c r="AQ13" i="8" s="1"/>
  <c r="AY88" i="8"/>
  <c r="DG19" i="8"/>
  <c r="DG18" i="8" s="1"/>
  <c r="DV18" i="8"/>
  <c r="CE29" i="8"/>
  <c r="CD104" i="8"/>
  <c r="CT51" i="8"/>
  <c r="CU51" i="8"/>
  <c r="CD18" i="8"/>
  <c r="BN21" i="8"/>
  <c r="BN24" i="8" s="1"/>
  <c r="BV21" i="8"/>
  <c r="BV24" i="8" s="1"/>
  <c r="CE9" i="8"/>
  <c r="CY9" i="8"/>
  <c r="CQ19" i="8"/>
  <c r="CQ18" i="8" s="1"/>
  <c r="E29" i="8"/>
  <c r="Z29" i="8"/>
  <c r="BJ29" i="8"/>
  <c r="AE35" i="8"/>
  <c r="CE104" i="8"/>
  <c r="AI51" i="8"/>
  <c r="BO21" i="8"/>
  <c r="BO24" i="8" s="1"/>
  <c r="DG9" i="8"/>
  <c r="AI109" i="8"/>
  <c r="BJ21" i="8"/>
  <c r="BJ24" i="8" s="1"/>
  <c r="CL29" i="8"/>
  <c r="AM29" i="8"/>
  <c r="BZ29" i="8"/>
  <c r="DQ29" i="8"/>
  <c r="DV51" i="8"/>
  <c r="Z109" i="6"/>
  <c r="Z112" i="6"/>
  <c r="Z21" i="6"/>
  <c r="Z24" i="6" s="1"/>
  <c r="BH109" i="6"/>
  <c r="BH112" i="6"/>
  <c r="P112" i="6"/>
  <c r="W113" i="6"/>
  <c r="W13" i="6"/>
  <c r="AL109" i="6"/>
  <c r="AL112" i="6"/>
  <c r="AU112" i="6"/>
  <c r="AU109" i="6"/>
  <c r="BU112" i="6"/>
  <c r="BU109" i="6"/>
  <c r="BU88" i="6"/>
  <c r="BU21" i="6"/>
  <c r="BU24" i="6" s="1"/>
  <c r="CM113" i="6"/>
  <c r="CM13" i="6"/>
  <c r="EL109" i="6"/>
  <c r="EL112" i="6"/>
  <c r="BG113" i="6"/>
  <c r="BG88" i="6"/>
  <c r="BG13" i="6"/>
  <c r="CN13" i="6"/>
  <c r="AS109" i="6"/>
  <c r="AS112" i="6"/>
  <c r="CI109" i="6"/>
  <c r="CI112" i="6"/>
  <c r="Q86" i="6"/>
  <c r="Q85" i="6"/>
  <c r="Q9" i="6"/>
  <c r="AM9" i="6"/>
  <c r="EM86" i="6"/>
  <c r="EM9" i="6"/>
  <c r="G109" i="6"/>
  <c r="G112" i="6"/>
  <c r="G21" i="6"/>
  <c r="G24" i="6" s="1"/>
  <c r="AH109" i="6"/>
  <c r="AH112" i="6"/>
  <c r="AH21" i="6"/>
  <c r="AH24" i="6" s="1"/>
  <c r="AZ109" i="6"/>
  <c r="AZ112" i="6"/>
  <c r="AZ21" i="6"/>
  <c r="AZ24" i="6" s="1"/>
  <c r="AZ88" i="6"/>
  <c r="DD109" i="6"/>
  <c r="DD112" i="6"/>
  <c r="DD88" i="6"/>
  <c r="DD21" i="6"/>
  <c r="DD24" i="6" s="1"/>
  <c r="EA9" i="6"/>
  <c r="FG112" i="6"/>
  <c r="FG21" i="6"/>
  <c r="FG24" i="6" s="1"/>
  <c r="FZ112" i="6"/>
  <c r="FZ109" i="6"/>
  <c r="FZ21" i="6"/>
  <c r="FZ24" i="6" s="1"/>
  <c r="FZ88" i="6"/>
  <c r="GQ109" i="6"/>
  <c r="GQ112" i="6"/>
  <c r="GQ21" i="6"/>
  <c r="GQ24" i="6" s="1"/>
  <c r="Q14" i="6"/>
  <c r="AH101" i="6"/>
  <c r="AH113" i="6"/>
  <c r="AH88" i="6"/>
  <c r="AH13" i="6"/>
  <c r="BY101" i="6"/>
  <c r="BY113" i="6"/>
  <c r="BY88" i="6"/>
  <c r="EM14" i="6"/>
  <c r="GI14" i="6"/>
  <c r="GX101" i="6"/>
  <c r="GX113" i="6"/>
  <c r="GX88" i="6"/>
  <c r="GX13" i="6"/>
  <c r="P115" i="6"/>
  <c r="P107" i="6" s="1"/>
  <c r="P109" i="6"/>
  <c r="P52" i="6"/>
  <c r="F91" i="6"/>
  <c r="F90" i="6"/>
  <c r="BU90" i="6"/>
  <c r="BU91" i="6"/>
  <c r="FJ91" i="6"/>
  <c r="FJ90" i="6"/>
  <c r="GP91" i="6"/>
  <c r="GP90" i="6"/>
  <c r="FF18" i="6"/>
  <c r="FN91" i="6"/>
  <c r="FN90" i="6"/>
  <c r="R109" i="6"/>
  <c r="R112" i="6"/>
  <c r="R21" i="6"/>
  <c r="R24" i="6" s="1"/>
  <c r="AI109" i="6"/>
  <c r="AI112" i="6"/>
  <c r="AI21" i="6"/>
  <c r="AI24" i="6" s="1"/>
  <c r="BJ109" i="6"/>
  <c r="BJ112" i="6"/>
  <c r="BJ21" i="6"/>
  <c r="BJ24" i="6" s="1"/>
  <c r="BQ109" i="6"/>
  <c r="BQ112" i="6"/>
  <c r="BQ88" i="6"/>
  <c r="BQ21" i="6"/>
  <c r="BQ24" i="6" s="1"/>
  <c r="BZ112" i="6"/>
  <c r="BZ109" i="6"/>
  <c r="BZ21" i="6"/>
  <c r="BZ24" i="6" s="1"/>
  <c r="CU112" i="6"/>
  <c r="CU109" i="6"/>
  <c r="CU21" i="6"/>
  <c r="CU24" i="6" s="1"/>
  <c r="DE109" i="6"/>
  <c r="DE112" i="6"/>
  <c r="DE88" i="6"/>
  <c r="DE21" i="6"/>
  <c r="DE24" i="6" s="1"/>
  <c r="DP112" i="6"/>
  <c r="DP109" i="6"/>
  <c r="DP21" i="6"/>
  <c r="DP24" i="6" s="1"/>
  <c r="DP88" i="6"/>
  <c r="ED112" i="6"/>
  <c r="ED88" i="6"/>
  <c r="ED21" i="6"/>
  <c r="ED24" i="6" s="1"/>
  <c r="EP109" i="6"/>
  <c r="EP112" i="6"/>
  <c r="FB109" i="6"/>
  <c r="FB112" i="6"/>
  <c r="FB21" i="6"/>
  <c r="FB24" i="6" s="1"/>
  <c r="FJ112" i="6"/>
  <c r="FJ109" i="6"/>
  <c r="FJ21" i="6"/>
  <c r="FJ24" i="6" s="1"/>
  <c r="FR109" i="6"/>
  <c r="FR112" i="6"/>
  <c r="FR21" i="6"/>
  <c r="FR24" i="6" s="1"/>
  <c r="FR88" i="6"/>
  <c r="GA109" i="6"/>
  <c r="GA112" i="6"/>
  <c r="GA88" i="6"/>
  <c r="GA21" i="6"/>
  <c r="GA24" i="6" s="1"/>
  <c r="GI9" i="6"/>
  <c r="CY13" i="6"/>
  <c r="H101" i="6"/>
  <c r="H113" i="6"/>
  <c r="H88" i="6"/>
  <c r="R101" i="6"/>
  <c r="R113" i="6"/>
  <c r="R88" i="6"/>
  <c r="R13" i="6"/>
  <c r="AI88" i="6"/>
  <c r="AU14" i="6"/>
  <c r="BZ88" i="6"/>
  <c r="CX101" i="6"/>
  <c r="CX113" i="6"/>
  <c r="CX88" i="6"/>
  <c r="EX113" i="6"/>
  <c r="EX88" i="6"/>
  <c r="FG88" i="6"/>
  <c r="FW88" i="6"/>
  <c r="GL101" i="6"/>
  <c r="GL113" i="6"/>
  <c r="GL13" i="6"/>
  <c r="GY88" i="6"/>
  <c r="Z90" i="6"/>
  <c r="Z91" i="6"/>
  <c r="AI90" i="6"/>
  <c r="AI91" i="6"/>
  <c r="BO90" i="6"/>
  <c r="BV90" i="6"/>
  <c r="DO91" i="6"/>
  <c r="DO90" i="6"/>
  <c r="EH91" i="6"/>
  <c r="EH90" i="6"/>
  <c r="EX91" i="6"/>
  <c r="EX90" i="6"/>
  <c r="FO91" i="6"/>
  <c r="FO90" i="6"/>
  <c r="GE91" i="6"/>
  <c r="GE90" i="6"/>
  <c r="GX90" i="6"/>
  <c r="GX91" i="6"/>
  <c r="G90" i="6"/>
  <c r="G91" i="6"/>
  <c r="DH90" i="6"/>
  <c r="DH91" i="6"/>
  <c r="L94" i="6"/>
  <c r="L96" i="6"/>
  <c r="L35" i="6"/>
  <c r="CT96" i="6"/>
  <c r="CT94" i="6"/>
  <c r="CT35" i="6"/>
  <c r="EX96" i="6"/>
  <c r="EX94" i="6"/>
  <c r="EX35" i="6"/>
  <c r="FW94" i="6"/>
  <c r="FW35" i="6"/>
  <c r="GP96" i="6"/>
  <c r="GP94" i="6"/>
  <c r="GP35" i="6"/>
  <c r="HG96" i="6"/>
  <c r="HG94" i="6"/>
  <c r="HG35" i="6"/>
  <c r="G96" i="6"/>
  <c r="ET50" i="6"/>
  <c r="M14" i="6"/>
  <c r="S86" i="6"/>
  <c r="S85" i="6"/>
  <c r="S14" i="6"/>
  <c r="Z86" i="6"/>
  <c r="Z85" i="6"/>
  <c r="AT14" i="6"/>
  <c r="AT86" i="6"/>
  <c r="AT9" i="6"/>
  <c r="BI14" i="6"/>
  <c r="BI9" i="6"/>
  <c r="CJ86" i="6"/>
  <c r="CJ14" i="6"/>
  <c r="DW14" i="6"/>
  <c r="DW9" i="6"/>
  <c r="EE9" i="6"/>
  <c r="EE90" i="6" s="1"/>
  <c r="EQ14" i="6"/>
  <c r="GM86" i="6"/>
  <c r="GM14" i="6"/>
  <c r="AM19" i="6"/>
  <c r="AM18" i="6" s="1"/>
  <c r="AM87" i="6"/>
  <c r="BH87" i="6"/>
  <c r="BH19" i="6"/>
  <c r="BH18" i="6" s="1"/>
  <c r="DW19" i="6"/>
  <c r="DW18" i="6" s="1"/>
  <c r="FV19" i="6"/>
  <c r="FV18" i="6" s="1"/>
  <c r="FV9" i="6"/>
  <c r="E112" i="6"/>
  <c r="E109" i="6"/>
  <c r="E21" i="6"/>
  <c r="E24" i="6" s="1"/>
  <c r="L9" i="6"/>
  <c r="S9" i="6"/>
  <c r="AD109" i="6"/>
  <c r="AD112" i="6"/>
  <c r="AD21" i="6"/>
  <c r="AD24" i="6" s="1"/>
  <c r="BN109" i="6"/>
  <c r="BN112" i="6"/>
  <c r="BN88" i="6"/>
  <c r="BN21" i="6"/>
  <c r="BN24" i="6" s="1"/>
  <c r="CC109" i="6"/>
  <c r="CC112" i="6"/>
  <c r="CC21" i="6"/>
  <c r="CC24" i="6" s="1"/>
  <c r="CJ9" i="6"/>
  <c r="CX109" i="6"/>
  <c r="CX112" i="6"/>
  <c r="CX21" i="6"/>
  <c r="CX24" i="6" s="1"/>
  <c r="DH112" i="6"/>
  <c r="DH109" i="6"/>
  <c r="DH21" i="6"/>
  <c r="DH24" i="6" s="1"/>
  <c r="DH88" i="6"/>
  <c r="DV109" i="6"/>
  <c r="DV112" i="6"/>
  <c r="EH109" i="6"/>
  <c r="EH112" i="6"/>
  <c r="EH21" i="6"/>
  <c r="EH24" i="6" s="1"/>
  <c r="EQ9" i="6"/>
  <c r="FC109" i="6"/>
  <c r="FC112" i="6"/>
  <c r="FC21" i="6"/>
  <c r="FC24" i="6" s="1"/>
  <c r="FK109" i="6"/>
  <c r="FK112" i="6"/>
  <c r="FK21" i="6"/>
  <c r="FK24" i="6" s="1"/>
  <c r="FS109" i="6"/>
  <c r="FS112" i="6"/>
  <c r="FS21" i="6"/>
  <c r="FS24" i="6" s="1"/>
  <c r="FS88" i="6"/>
  <c r="GM9" i="6"/>
  <c r="GX109" i="6"/>
  <c r="GX112" i="6"/>
  <c r="GX21" i="6"/>
  <c r="GX24" i="6" s="1"/>
  <c r="HG109" i="6"/>
  <c r="HG112" i="6"/>
  <c r="HG91" i="6"/>
  <c r="HG21" i="6"/>
  <c r="HG24" i="6" s="1"/>
  <c r="HG90" i="6"/>
  <c r="E113" i="6"/>
  <c r="E101" i="6"/>
  <c r="E88" i="6"/>
  <c r="E13" i="6"/>
  <c r="L113" i="6"/>
  <c r="L101" i="6"/>
  <c r="L88" i="6"/>
  <c r="L13" i="6"/>
  <c r="AD113" i="6"/>
  <c r="AD101" i="6"/>
  <c r="AD88" i="6"/>
  <c r="AM14" i="6"/>
  <c r="CC88" i="6"/>
  <c r="EI88" i="6"/>
  <c r="FB101" i="6"/>
  <c r="FB113" i="6"/>
  <c r="FB88" i="6"/>
  <c r="FJ113" i="6"/>
  <c r="FJ101" i="6"/>
  <c r="FJ88" i="6"/>
  <c r="GD113" i="6"/>
  <c r="GD101" i="6"/>
  <c r="GD88" i="6"/>
  <c r="GD13" i="6"/>
  <c r="AY90" i="6"/>
  <c r="AY91" i="6"/>
  <c r="BG90" i="6"/>
  <c r="BG91" i="6"/>
  <c r="CE90" i="6"/>
  <c r="DP91" i="6"/>
  <c r="DP90" i="6"/>
  <c r="FB90" i="6"/>
  <c r="FB91" i="6"/>
  <c r="FR90" i="6"/>
  <c r="FR91" i="6"/>
  <c r="GY91" i="6"/>
  <c r="GY90" i="6"/>
  <c r="L19" i="6"/>
  <c r="L18" i="6" s="1"/>
  <c r="DI90" i="6"/>
  <c r="DI91" i="6"/>
  <c r="GA90" i="6"/>
  <c r="GA91" i="6"/>
  <c r="Y130" i="6"/>
  <c r="Y128" i="6"/>
  <c r="Y105" i="6"/>
  <c r="CN50" i="6"/>
  <c r="P86" i="6"/>
  <c r="P85" i="6"/>
  <c r="W85" i="6"/>
  <c r="AL85" i="6"/>
  <c r="AL14" i="6"/>
  <c r="AU85" i="6"/>
  <c r="AU86" i="6"/>
  <c r="BU101" i="6"/>
  <c r="BU86" i="6"/>
  <c r="BU85" i="6"/>
  <c r="CM85" i="6"/>
  <c r="CM86" i="6"/>
  <c r="DZ86" i="6"/>
  <c r="DZ85" i="6"/>
  <c r="EL86" i="6"/>
  <c r="GH86" i="6"/>
  <c r="GH14" i="6"/>
  <c r="AR19" i="6"/>
  <c r="AR18" i="6" s="1"/>
  <c r="BI19" i="6"/>
  <c r="BI18" i="6" s="1"/>
  <c r="GH87" i="6"/>
  <c r="GH19" i="6"/>
  <c r="GH18" i="6" s="1"/>
  <c r="F109" i="6"/>
  <c r="F112" i="6"/>
  <c r="F21" i="6"/>
  <c r="F24" i="6" s="1"/>
  <c r="M109" i="6"/>
  <c r="M112" i="6"/>
  <c r="W9" i="6"/>
  <c r="AY109" i="6"/>
  <c r="AY112" i="6"/>
  <c r="AY21" i="6"/>
  <c r="AY24" i="6" s="1"/>
  <c r="AY88" i="6"/>
  <c r="BG109" i="6"/>
  <c r="BG112" i="6"/>
  <c r="BG21" i="6"/>
  <c r="BG24" i="6" s="1"/>
  <c r="BO112" i="6"/>
  <c r="BO109" i="6"/>
  <c r="BO88" i="6"/>
  <c r="BO21" i="6"/>
  <c r="BO24" i="6" s="1"/>
  <c r="BV109" i="6"/>
  <c r="BV112" i="6"/>
  <c r="BV21" i="6"/>
  <c r="BV24" i="6" s="1"/>
  <c r="BV88" i="6"/>
  <c r="CD109" i="6"/>
  <c r="CD112" i="6"/>
  <c r="CD21" i="6"/>
  <c r="CD24" i="6" s="1"/>
  <c r="CM9" i="6"/>
  <c r="CM91" i="6" s="1"/>
  <c r="DZ9" i="6"/>
  <c r="EI112" i="6"/>
  <c r="EI109" i="6"/>
  <c r="EI21" i="6"/>
  <c r="EI24" i="6" s="1"/>
  <c r="ET112" i="6"/>
  <c r="ET109" i="6"/>
  <c r="ET21" i="6"/>
  <c r="ET24" i="6" s="1"/>
  <c r="ET88" i="6"/>
  <c r="FW109" i="6"/>
  <c r="FW112" i="6"/>
  <c r="FW21" i="6"/>
  <c r="FW24" i="6" s="1"/>
  <c r="GE112" i="6"/>
  <c r="GE109" i="6"/>
  <c r="GE21" i="6"/>
  <c r="GE24" i="6" s="1"/>
  <c r="GP112" i="6"/>
  <c r="GP109" i="6"/>
  <c r="GP21" i="6"/>
  <c r="GP24" i="6" s="1"/>
  <c r="GY109" i="6"/>
  <c r="GY112" i="6"/>
  <c r="GY21" i="6"/>
  <c r="GY24" i="6" s="1"/>
  <c r="HH109" i="6"/>
  <c r="HH112" i="6"/>
  <c r="HH90" i="6"/>
  <c r="HH91" i="6"/>
  <c r="HH21" i="6"/>
  <c r="HH24" i="6" s="1"/>
  <c r="P14" i="6"/>
  <c r="P21" i="6" s="1"/>
  <c r="P24" i="6" s="1"/>
  <c r="X113" i="6"/>
  <c r="AR113" i="6"/>
  <c r="AR101" i="6"/>
  <c r="BJ113" i="6"/>
  <c r="BJ101" i="6"/>
  <c r="BJ88" i="6"/>
  <c r="CD113" i="6"/>
  <c r="CD101" i="6"/>
  <c r="CD88" i="6"/>
  <c r="DZ14" i="6"/>
  <c r="EL14" i="6"/>
  <c r="GE88" i="6"/>
  <c r="HH88" i="6"/>
  <c r="FF115" i="6"/>
  <c r="FF107" i="6" s="1"/>
  <c r="FF109" i="6"/>
  <c r="E90" i="6"/>
  <c r="E91" i="6"/>
  <c r="BJ91" i="6"/>
  <c r="BJ90" i="6"/>
  <c r="BQ90" i="6"/>
  <c r="BQ91" i="6"/>
  <c r="BZ91" i="6"/>
  <c r="BZ90" i="6"/>
  <c r="CT91" i="6"/>
  <c r="CT90" i="6"/>
  <c r="DD91" i="6"/>
  <c r="DD90" i="6"/>
  <c r="FG90" i="6"/>
  <c r="FG91" i="6"/>
  <c r="FW90" i="6"/>
  <c r="FW91" i="6"/>
  <c r="ED90" i="6"/>
  <c r="ET90" i="6"/>
  <c r="ET91" i="6"/>
  <c r="FC91" i="6"/>
  <c r="FC90" i="6"/>
  <c r="FK91" i="6"/>
  <c r="FK90" i="6"/>
  <c r="FS91" i="6"/>
  <c r="FS90" i="6"/>
  <c r="GD91" i="6"/>
  <c r="GD90" i="6"/>
  <c r="GQ91" i="6"/>
  <c r="GQ90" i="6"/>
  <c r="G94" i="6"/>
  <c r="G35" i="6"/>
  <c r="BI94" i="6"/>
  <c r="BI96" i="6"/>
  <c r="BI35" i="6"/>
  <c r="BY96" i="6"/>
  <c r="BY94" i="6"/>
  <c r="BY35" i="6"/>
  <c r="P128" i="6"/>
  <c r="P130" i="6"/>
  <c r="P105" i="6"/>
  <c r="Z128" i="6"/>
  <c r="Z130" i="6"/>
  <c r="Z105" i="6"/>
  <c r="X9" i="6"/>
  <c r="X88" i="6" s="1"/>
  <c r="BG86" i="6"/>
  <c r="CN86" i="6"/>
  <c r="CN9" i="6"/>
  <c r="M87" i="6"/>
  <c r="M19" i="6"/>
  <c r="M18" i="6" s="1"/>
  <c r="AS19" i="6"/>
  <c r="AS18" i="6" s="1"/>
  <c r="CI19" i="6"/>
  <c r="CI18" i="6" s="1"/>
  <c r="CI87" i="6"/>
  <c r="GL19" i="6"/>
  <c r="GL18" i="6" s="1"/>
  <c r="GL87" i="6"/>
  <c r="Y109" i="6"/>
  <c r="Y112" i="6"/>
  <c r="Y21" i="6"/>
  <c r="Y24" i="6" s="1"/>
  <c r="AR9" i="6"/>
  <c r="AR88" i="6" s="1"/>
  <c r="CT109" i="6"/>
  <c r="CT112" i="6"/>
  <c r="CT21" i="6"/>
  <c r="CT24" i="6" s="1"/>
  <c r="DO109" i="6"/>
  <c r="DO112" i="6"/>
  <c r="DO88" i="6"/>
  <c r="DO21" i="6"/>
  <c r="DO24" i="6" s="1"/>
  <c r="EX109" i="6"/>
  <c r="EX112" i="6"/>
  <c r="EX21" i="6"/>
  <c r="EX24" i="6" s="1"/>
  <c r="FO112" i="6"/>
  <c r="FO109" i="6"/>
  <c r="FO88" i="6"/>
  <c r="FO21" i="6"/>
  <c r="FO24" i="6" s="1"/>
  <c r="GH9" i="6"/>
  <c r="HB109" i="6"/>
  <c r="HB112" i="6"/>
  <c r="HB88" i="6"/>
  <c r="HB21" i="6"/>
  <c r="HB24" i="6" s="1"/>
  <c r="HB91" i="6"/>
  <c r="HB90" i="6"/>
  <c r="AE13" i="6"/>
  <c r="AE90" i="6" s="1"/>
  <c r="G101" i="6"/>
  <c r="G113" i="6"/>
  <c r="G88" i="6"/>
  <c r="Y101" i="6"/>
  <c r="Y113" i="6"/>
  <c r="Y88" i="6"/>
  <c r="Y13" i="6"/>
  <c r="Y91" i="6" s="1"/>
  <c r="CE101" i="6"/>
  <c r="CE113" i="6"/>
  <c r="CE88" i="6"/>
  <c r="EA14" i="6"/>
  <c r="FG109" i="6"/>
  <c r="R90" i="6"/>
  <c r="R91" i="6"/>
  <c r="AH91" i="6"/>
  <c r="AH90" i="6"/>
  <c r="BN91" i="6"/>
  <c r="BN90" i="6"/>
  <c r="DE90" i="6"/>
  <c r="DE91" i="6"/>
  <c r="FZ90" i="6"/>
  <c r="FZ91" i="6"/>
  <c r="GT91" i="6"/>
  <c r="GT90" i="6"/>
  <c r="H96" i="6"/>
  <c r="H94" i="6"/>
  <c r="H35" i="6"/>
  <c r="FF52" i="6"/>
  <c r="H109" i="6"/>
  <c r="H112" i="6"/>
  <c r="AE112" i="6"/>
  <c r="AE109" i="6"/>
  <c r="BC109" i="6"/>
  <c r="BC112" i="6"/>
  <c r="BP109" i="6"/>
  <c r="BP112" i="6"/>
  <c r="BY109" i="6"/>
  <c r="BY112" i="6"/>
  <c r="CE109" i="6"/>
  <c r="CE112" i="6"/>
  <c r="CY109" i="6"/>
  <c r="CY112" i="6"/>
  <c r="DI109" i="6"/>
  <c r="DI112" i="6"/>
  <c r="DI88" i="6"/>
  <c r="EU9" i="6"/>
  <c r="FN109" i="6"/>
  <c r="FN112" i="6"/>
  <c r="GD109" i="6"/>
  <c r="GD112" i="6"/>
  <c r="GL9" i="6"/>
  <c r="GT109" i="6"/>
  <c r="GT112" i="6"/>
  <c r="HF112" i="6"/>
  <c r="HF109" i="6"/>
  <c r="CC13" i="6"/>
  <c r="CC90" i="6" s="1"/>
  <c r="CU13" i="6"/>
  <c r="CU91" i="6" s="1"/>
  <c r="EI13" i="6"/>
  <c r="EI91" i="6" s="1"/>
  <c r="F113" i="6"/>
  <c r="F101" i="6"/>
  <c r="Z113" i="6"/>
  <c r="Z101" i="6"/>
  <c r="AS113" i="6"/>
  <c r="AS101" i="6"/>
  <c r="BH14" i="6"/>
  <c r="BH21" i="6" s="1"/>
  <c r="BH24" i="6" s="1"/>
  <c r="CI14" i="6"/>
  <c r="CI21" i="6" s="1"/>
  <c r="CI24" i="6" s="1"/>
  <c r="CT113" i="6"/>
  <c r="CT101" i="6"/>
  <c r="DV14" i="6"/>
  <c r="EH113" i="6"/>
  <c r="EH101" i="6"/>
  <c r="EP14" i="6"/>
  <c r="FK88" i="6"/>
  <c r="Q115" i="6"/>
  <c r="Q107" i="6" s="1"/>
  <c r="Q109" i="6"/>
  <c r="P18" i="6"/>
  <c r="W91" i="6"/>
  <c r="AD91" i="6"/>
  <c r="AZ91" i="6"/>
  <c r="CD90" i="6"/>
  <c r="CX90" i="6"/>
  <c r="AL19" i="6"/>
  <c r="AL18" i="6" s="1"/>
  <c r="DV19" i="6"/>
  <c r="DV18" i="6" s="1"/>
  <c r="GM19" i="6"/>
  <c r="GM18" i="6" s="1"/>
  <c r="H21" i="6"/>
  <c r="H24" i="6" s="1"/>
  <c r="AE21" i="6"/>
  <c r="AE24" i="6" s="1"/>
  <c r="BC21" i="6"/>
  <c r="BC24" i="6" s="1"/>
  <c r="BP21" i="6"/>
  <c r="BP24" i="6" s="1"/>
  <c r="BY21" i="6"/>
  <c r="BY24" i="6" s="1"/>
  <c r="CE21" i="6"/>
  <c r="CE24" i="6" s="1"/>
  <c r="CY21" i="6"/>
  <c r="CY24" i="6" s="1"/>
  <c r="DI21" i="6"/>
  <c r="DI24" i="6" s="1"/>
  <c r="FF21" i="6"/>
  <c r="FF24" i="6" s="1"/>
  <c r="FN21" i="6"/>
  <c r="FN24" i="6" s="1"/>
  <c r="GD21" i="6"/>
  <c r="GD24" i="6" s="1"/>
  <c r="GT21" i="6"/>
  <c r="GT24" i="6" s="1"/>
  <c r="HF21" i="6"/>
  <c r="HF24" i="6" s="1"/>
  <c r="W122" i="6"/>
  <c r="W106" i="6"/>
  <c r="W100" i="6"/>
  <c r="W97" i="6"/>
  <c r="W121" i="6"/>
  <c r="W108" i="6" s="1"/>
  <c r="W95" i="6"/>
  <c r="AL122" i="6"/>
  <c r="AL121" i="6"/>
  <c r="AL107" i="6" s="1"/>
  <c r="AL106" i="6"/>
  <c r="AL100" i="6"/>
  <c r="AL105" i="6"/>
  <c r="BI122" i="6"/>
  <c r="BI121" i="6"/>
  <c r="BI86" i="6" s="1"/>
  <c r="BH121" i="6"/>
  <c r="BH107" i="6" s="1"/>
  <c r="BI100" i="6"/>
  <c r="BI106" i="6"/>
  <c r="BI97" i="6"/>
  <c r="CC122" i="6"/>
  <c r="CC121" i="6"/>
  <c r="CC105" i="6"/>
  <c r="CC106" i="6"/>
  <c r="CC97" i="6"/>
  <c r="CY122" i="6"/>
  <c r="CY106" i="6"/>
  <c r="CY121" i="6"/>
  <c r="CX121" i="6"/>
  <c r="CY105" i="6"/>
  <c r="DW122" i="6"/>
  <c r="DW106" i="6"/>
  <c r="DW121" i="6"/>
  <c r="DW108" i="6" s="1"/>
  <c r="DW105" i="6"/>
  <c r="EQ122" i="6"/>
  <c r="EQ105" i="6"/>
  <c r="EQ106" i="6"/>
  <c r="EQ121" i="6"/>
  <c r="EQ108" i="6" s="1"/>
  <c r="FR122" i="6"/>
  <c r="FP121" i="6"/>
  <c r="FR121" i="6"/>
  <c r="FR97" i="6"/>
  <c r="FR100" i="6"/>
  <c r="FX121" i="6"/>
  <c r="FZ122" i="6"/>
  <c r="FZ100" i="6"/>
  <c r="FZ105" i="6"/>
  <c r="FZ121" i="6"/>
  <c r="FZ106" i="6"/>
  <c r="FZ97" i="6"/>
  <c r="HB122" i="6"/>
  <c r="HB121" i="6"/>
  <c r="HB97" i="6"/>
  <c r="HB105" i="6"/>
  <c r="GZ121" i="6"/>
  <c r="HB106" i="6"/>
  <c r="HB100" i="6"/>
  <c r="E120" i="6"/>
  <c r="E85" i="6" s="1"/>
  <c r="E104" i="6"/>
  <c r="E97" i="6"/>
  <c r="M120" i="6"/>
  <c r="M104" i="6"/>
  <c r="AS97" i="6"/>
  <c r="AS120" i="6"/>
  <c r="AS85" i="6" s="1"/>
  <c r="BG120" i="6"/>
  <c r="BG85" i="6" s="1"/>
  <c r="BG97" i="6"/>
  <c r="EZ120" i="6"/>
  <c r="FB120" i="6"/>
  <c r="FB85" i="6" s="1"/>
  <c r="FB104" i="6"/>
  <c r="FO120" i="6"/>
  <c r="FO104" i="6"/>
  <c r="GD120" i="6"/>
  <c r="GD85" i="6" s="1"/>
  <c r="GB120" i="6"/>
  <c r="GD104" i="6"/>
  <c r="GD97" i="6"/>
  <c r="GX120" i="6"/>
  <c r="GX85" i="6" s="1"/>
  <c r="GV120" i="6"/>
  <c r="E125" i="6"/>
  <c r="E87" i="6" s="1"/>
  <c r="E126" i="6"/>
  <c r="R126" i="6"/>
  <c r="Q125" i="6"/>
  <c r="Q87" i="6" s="1"/>
  <c r="R125" i="6"/>
  <c r="R87" i="6" s="1"/>
  <c r="Y126" i="6"/>
  <c r="Y125" i="6"/>
  <c r="Y87" i="6" s="1"/>
  <c r="AH126" i="6"/>
  <c r="AH125" i="6"/>
  <c r="AH87" i="6" s="1"/>
  <c r="AT125" i="6"/>
  <c r="AT87" i="6" s="1"/>
  <c r="AT126" i="6"/>
  <c r="BP126" i="6"/>
  <c r="BP125" i="6"/>
  <c r="BP87" i="6" s="1"/>
  <c r="BZ125" i="6"/>
  <c r="BZ87" i="6" s="1"/>
  <c r="BZ126" i="6"/>
  <c r="DO125" i="6"/>
  <c r="DO87" i="6" s="1"/>
  <c r="DO126" i="6"/>
  <c r="DM125" i="6"/>
  <c r="DM87" i="6" s="1"/>
  <c r="EI125" i="6"/>
  <c r="EI87" i="6" s="1"/>
  <c r="EI126" i="6"/>
  <c r="EU126" i="6"/>
  <c r="EU125" i="6"/>
  <c r="EU87" i="6" s="1"/>
  <c r="GD125" i="6"/>
  <c r="GD87" i="6" s="1"/>
  <c r="GD126" i="6"/>
  <c r="GB125" i="6"/>
  <c r="GB87" i="6" s="1"/>
  <c r="M123" i="6"/>
  <c r="M124" i="6"/>
  <c r="L123" i="6"/>
  <c r="CU123" i="6"/>
  <c r="CU124" i="6"/>
  <c r="CT123" i="6"/>
  <c r="CU96" i="6"/>
  <c r="FV123" i="6"/>
  <c r="FV124" i="6"/>
  <c r="FT123" i="6"/>
  <c r="AS37" i="6"/>
  <c r="BP37" i="6"/>
  <c r="CE37" i="6"/>
  <c r="DW37" i="6"/>
  <c r="EE37" i="6"/>
  <c r="EM37" i="6"/>
  <c r="EU37" i="6"/>
  <c r="FF37" i="6"/>
  <c r="FN37" i="6"/>
  <c r="FV37" i="6"/>
  <c r="FV96" i="6" s="1"/>
  <c r="GD37" i="6"/>
  <c r="GL37" i="6"/>
  <c r="HF96" i="6"/>
  <c r="HF94" i="6"/>
  <c r="EE104" i="6"/>
  <c r="FR127" i="6"/>
  <c r="FR129" i="6"/>
  <c r="FR106" i="6"/>
  <c r="G128" i="6"/>
  <c r="G130" i="6"/>
  <c r="G105" i="6"/>
  <c r="R130" i="6"/>
  <c r="R128" i="6"/>
  <c r="R105" i="6"/>
  <c r="BG128" i="6"/>
  <c r="BG105" i="6"/>
  <c r="BU130" i="6"/>
  <c r="BS130" i="6"/>
  <c r="BU128" i="6"/>
  <c r="BU105" i="6"/>
  <c r="CT128" i="6"/>
  <c r="CT130" i="6"/>
  <c r="CR130" i="6"/>
  <c r="CT105" i="6"/>
  <c r="ED130" i="6"/>
  <c r="EB130" i="6"/>
  <c r="ED128" i="6"/>
  <c r="ED105" i="6"/>
  <c r="EJ130" i="6"/>
  <c r="EL128" i="6"/>
  <c r="EL130" i="6"/>
  <c r="EL105" i="6"/>
  <c r="FF130" i="6"/>
  <c r="FD130" i="6"/>
  <c r="FF128" i="6"/>
  <c r="FF105" i="6"/>
  <c r="GL130" i="6"/>
  <c r="GJ130" i="6"/>
  <c r="GL128" i="6"/>
  <c r="GL105" i="6"/>
  <c r="GV130" i="6"/>
  <c r="GX128" i="6"/>
  <c r="GX130" i="6"/>
  <c r="GX105" i="6"/>
  <c r="W51" i="6"/>
  <c r="BG51" i="6"/>
  <c r="AL101" i="6"/>
  <c r="EL101" i="6"/>
  <c r="FF101" i="6"/>
  <c r="BH86" i="6"/>
  <c r="F88" i="6"/>
  <c r="BC88" i="6"/>
  <c r="BP88" i="6"/>
  <c r="BP90" i="6"/>
  <c r="CM90" i="6"/>
  <c r="BO91" i="6"/>
  <c r="HF91" i="6"/>
  <c r="W94" i="6"/>
  <c r="AH94" i="6"/>
  <c r="AZ94" i="6"/>
  <c r="BH94" i="6"/>
  <c r="DD94" i="6"/>
  <c r="EP94" i="6"/>
  <c r="FB94" i="6"/>
  <c r="FG94" i="6"/>
  <c r="GA94" i="6"/>
  <c r="GM94" i="6"/>
  <c r="GT94" i="6"/>
  <c r="BH95" i="6"/>
  <c r="CX95" i="6"/>
  <c r="HB95" i="6"/>
  <c r="Q96" i="6"/>
  <c r="AI96" i="6"/>
  <c r="BZ96" i="6"/>
  <c r="CI96" i="6"/>
  <c r="DZ96" i="6"/>
  <c r="FK96" i="6"/>
  <c r="GX96" i="6"/>
  <c r="HH96" i="6"/>
  <c r="EP97" i="6"/>
  <c r="BJ107" i="6"/>
  <c r="AL108" i="6"/>
  <c r="BH108" i="6"/>
  <c r="CC113" i="6"/>
  <c r="CC101" i="6"/>
  <c r="FF113" i="6"/>
  <c r="FF88" i="6"/>
  <c r="FV101" i="6"/>
  <c r="FV113" i="6"/>
  <c r="FV88" i="6"/>
  <c r="GP113" i="6"/>
  <c r="GP101" i="6"/>
  <c r="HG113" i="6"/>
  <c r="HG101" i="6"/>
  <c r="HG88" i="6"/>
  <c r="ED115" i="6"/>
  <c r="ED109" i="6"/>
  <c r="H91" i="6"/>
  <c r="Q18" i="6"/>
  <c r="CE91" i="6"/>
  <c r="CY91" i="6"/>
  <c r="X122" i="6"/>
  <c r="X97" i="6"/>
  <c r="X121" i="6"/>
  <c r="X106" i="6"/>
  <c r="X100" i="6"/>
  <c r="AM122" i="6"/>
  <c r="AM105" i="6"/>
  <c r="AM121" i="6"/>
  <c r="AM108" i="6" s="1"/>
  <c r="AM106" i="6"/>
  <c r="BJ122" i="6"/>
  <c r="BJ121" i="6"/>
  <c r="BJ100" i="6"/>
  <c r="BJ106" i="6"/>
  <c r="BJ97" i="6"/>
  <c r="BJ95" i="6"/>
  <c r="CD122" i="6"/>
  <c r="CD105" i="6"/>
  <c r="CD100" i="6"/>
  <c r="CD121" i="6"/>
  <c r="CD106" i="6"/>
  <c r="CD97" i="6"/>
  <c r="CD95" i="6"/>
  <c r="DH122" i="6"/>
  <c r="DH121" i="6"/>
  <c r="DF121" i="6"/>
  <c r="DH100" i="6"/>
  <c r="DH105" i="6"/>
  <c r="DH97" i="6"/>
  <c r="ED100" i="6"/>
  <c r="ED121" i="6"/>
  <c r="ED108" i="6" s="1"/>
  <c r="ED122" i="6"/>
  <c r="EB121" i="6"/>
  <c r="ED106" i="6"/>
  <c r="ED97" i="6"/>
  <c r="EX122" i="6"/>
  <c r="EX106" i="6"/>
  <c r="EX100" i="6"/>
  <c r="EX121" i="6"/>
  <c r="EV121" i="6"/>
  <c r="EX97" i="6"/>
  <c r="EX105" i="6"/>
  <c r="EX95" i="6"/>
  <c r="FS122" i="6"/>
  <c r="FS121" i="6"/>
  <c r="GA122" i="6"/>
  <c r="GA121" i="6"/>
  <c r="GA105" i="6"/>
  <c r="GA106" i="6"/>
  <c r="HG122" i="6"/>
  <c r="HG121" i="6"/>
  <c r="HG105" i="6"/>
  <c r="HG106" i="6"/>
  <c r="HG97" i="6"/>
  <c r="HF121" i="6"/>
  <c r="HG95" i="6"/>
  <c r="EU29" i="6"/>
  <c r="FF29" i="6"/>
  <c r="G120" i="6"/>
  <c r="G85" i="6" s="1"/>
  <c r="F120" i="6"/>
  <c r="F85" i="6" s="1"/>
  <c r="G97" i="6"/>
  <c r="G104" i="6"/>
  <c r="X120" i="6"/>
  <c r="X85" i="6" s="1"/>
  <c r="Y120" i="6"/>
  <c r="AT97" i="6"/>
  <c r="AT120" i="6"/>
  <c r="AT85" i="6" s="1"/>
  <c r="BI120" i="6"/>
  <c r="BI85" i="6" s="1"/>
  <c r="BH120" i="6"/>
  <c r="BH85" i="6" s="1"/>
  <c r="BY120" i="6"/>
  <c r="BY85" i="6" s="1"/>
  <c r="BY104" i="6"/>
  <c r="BW120" i="6"/>
  <c r="DV120" i="6"/>
  <c r="DT120" i="6"/>
  <c r="DV104" i="6"/>
  <c r="EH120" i="6"/>
  <c r="EH85" i="6" s="1"/>
  <c r="EF120" i="6"/>
  <c r="EH104" i="6"/>
  <c r="EH97" i="6"/>
  <c r="ET120" i="6"/>
  <c r="ET85" i="6" s="1"/>
  <c r="ER120" i="6"/>
  <c r="ET97" i="6"/>
  <c r="FC120" i="6"/>
  <c r="FC104" i="6"/>
  <c r="FR120" i="6"/>
  <c r="FR85" i="6" s="1"/>
  <c r="FP120" i="6"/>
  <c r="FR104" i="6"/>
  <c r="GH97" i="6"/>
  <c r="GH120" i="6"/>
  <c r="GH85" i="6" s="1"/>
  <c r="GF120" i="6"/>
  <c r="GH104" i="6"/>
  <c r="F126" i="6"/>
  <c r="F125" i="6"/>
  <c r="F87" i="6" s="1"/>
  <c r="S125" i="6"/>
  <c r="S87" i="6" s="1"/>
  <c r="S126" i="6"/>
  <c r="Z125" i="6"/>
  <c r="Z87" i="6" s="1"/>
  <c r="Z126" i="6"/>
  <c r="AI125" i="6"/>
  <c r="AI87" i="6" s="1"/>
  <c r="AI126" i="6"/>
  <c r="BJ126" i="6"/>
  <c r="BI125" i="6"/>
  <c r="BI87" i="6" s="1"/>
  <c r="BJ125" i="6"/>
  <c r="BJ87" i="6" s="1"/>
  <c r="BU125" i="6"/>
  <c r="BU87" i="6" s="1"/>
  <c r="BU126" i="6"/>
  <c r="BS125" i="6"/>
  <c r="BS87" i="6" s="1"/>
  <c r="CC126" i="6"/>
  <c r="CC125" i="6"/>
  <c r="CC87" i="6" s="1"/>
  <c r="DP125" i="6"/>
  <c r="DP87" i="6" s="1"/>
  <c r="DP126" i="6"/>
  <c r="EP126" i="6"/>
  <c r="EN125" i="6"/>
  <c r="EN87" i="6" s="1"/>
  <c r="EP125" i="6"/>
  <c r="EP87" i="6" s="1"/>
  <c r="FN125" i="6"/>
  <c r="FN87" i="6" s="1"/>
  <c r="FN126" i="6"/>
  <c r="FL125" i="6"/>
  <c r="FL87" i="6" s="1"/>
  <c r="DW125" i="6"/>
  <c r="DW87" i="6" s="1"/>
  <c r="DW126" i="6"/>
  <c r="FO125" i="6"/>
  <c r="FO87" i="6" s="1"/>
  <c r="FO126" i="6"/>
  <c r="GE125" i="6"/>
  <c r="GE87" i="6" s="1"/>
  <c r="GE126" i="6"/>
  <c r="EP35" i="6"/>
  <c r="GE35" i="6"/>
  <c r="Y123" i="6"/>
  <c r="Y124" i="6"/>
  <c r="X123" i="6"/>
  <c r="DV123" i="6"/>
  <c r="DV124" i="6"/>
  <c r="DT123" i="6"/>
  <c r="FW123" i="6"/>
  <c r="FW124" i="6"/>
  <c r="AT37" i="6"/>
  <c r="BJ37" i="6"/>
  <c r="EH37" i="6"/>
  <c r="GE96" i="6"/>
  <c r="GE94" i="6"/>
  <c r="AT104" i="6"/>
  <c r="CT104" i="6"/>
  <c r="EL104" i="6"/>
  <c r="ET104" i="6"/>
  <c r="BH129" i="6"/>
  <c r="BG129" i="6"/>
  <c r="BH127" i="6"/>
  <c r="BH106" i="6"/>
  <c r="FS127" i="6"/>
  <c r="FS106" i="6"/>
  <c r="H128" i="6"/>
  <c r="H130" i="6"/>
  <c r="H105" i="6"/>
  <c r="S128" i="6"/>
  <c r="S130" i="6"/>
  <c r="S105" i="6"/>
  <c r="BH46" i="6"/>
  <c r="BG130" i="6" s="1"/>
  <c r="BV130" i="6"/>
  <c r="BV128" i="6"/>
  <c r="BV105" i="6"/>
  <c r="CU130" i="6"/>
  <c r="CU128" i="6"/>
  <c r="CU105" i="6"/>
  <c r="EE130" i="6"/>
  <c r="EE128" i="6"/>
  <c r="EE105" i="6"/>
  <c r="EM128" i="6"/>
  <c r="EM130" i="6"/>
  <c r="EM105" i="6"/>
  <c r="FG128" i="6"/>
  <c r="FG130" i="6"/>
  <c r="FG105" i="6"/>
  <c r="GM128" i="6"/>
  <c r="GM130" i="6"/>
  <c r="GM105" i="6"/>
  <c r="GY128" i="6"/>
  <c r="GY130" i="6"/>
  <c r="GY105" i="6"/>
  <c r="W101" i="6"/>
  <c r="AT101" i="6"/>
  <c r="BG101" i="6"/>
  <c r="CC100" i="6"/>
  <c r="FV100" i="6"/>
  <c r="DV85" i="6"/>
  <c r="ED86" i="6"/>
  <c r="Z88" i="6"/>
  <c r="AS88" i="6"/>
  <c r="CT88" i="6"/>
  <c r="EH88" i="6"/>
  <c r="FN88" i="6"/>
  <c r="GT88" i="6"/>
  <c r="HF88" i="6"/>
  <c r="H90" i="6"/>
  <c r="BC90" i="6"/>
  <c r="BY90" i="6"/>
  <c r="CN90" i="6"/>
  <c r="AE91" i="6"/>
  <c r="BV91" i="6"/>
  <c r="CD91" i="6"/>
  <c r="P94" i="6"/>
  <c r="BQ94" i="6"/>
  <c r="CN94" i="6"/>
  <c r="CX94" i="6"/>
  <c r="DE94" i="6"/>
  <c r="DO94" i="6"/>
  <c r="EQ94" i="6"/>
  <c r="GI94" i="6"/>
  <c r="AL95" i="6"/>
  <c r="BI95" i="6"/>
  <c r="CI95" i="6"/>
  <c r="EP95" i="6"/>
  <c r="FZ95" i="6"/>
  <c r="HF95" i="6"/>
  <c r="R96" i="6"/>
  <c r="AM96" i="6"/>
  <c r="BG96" i="6"/>
  <c r="BO96" i="6"/>
  <c r="BU96" i="6"/>
  <c r="CC96" i="6"/>
  <c r="CJ96" i="6"/>
  <c r="EA96" i="6"/>
  <c r="FW96" i="6"/>
  <c r="BY97" i="6"/>
  <c r="L122" i="6"/>
  <c r="L121" i="6"/>
  <c r="J121" i="6"/>
  <c r="L105" i="6"/>
  <c r="L100" i="6"/>
  <c r="L106" i="6"/>
  <c r="L97" i="6"/>
  <c r="AH122" i="6"/>
  <c r="AH121" i="6"/>
  <c r="AH105" i="6"/>
  <c r="AH97" i="6"/>
  <c r="AH106" i="6"/>
  <c r="AH100" i="6"/>
  <c r="BP122" i="6"/>
  <c r="BP121" i="6"/>
  <c r="BO121" i="6"/>
  <c r="BP105" i="6"/>
  <c r="BP100" i="6"/>
  <c r="BP106" i="6"/>
  <c r="BP97" i="6"/>
  <c r="CE122" i="6"/>
  <c r="CE121" i="6"/>
  <c r="CE106" i="6"/>
  <c r="CE97" i="6"/>
  <c r="CE105" i="6"/>
  <c r="CE100" i="6"/>
  <c r="DI122" i="6"/>
  <c r="DI121" i="6"/>
  <c r="DI105" i="6"/>
  <c r="EE122" i="6"/>
  <c r="EE121" i="6"/>
  <c r="EE108" i="6" s="1"/>
  <c r="EE106" i="6"/>
  <c r="FB122" i="6"/>
  <c r="EZ121" i="6"/>
  <c r="FB105" i="6"/>
  <c r="FB106" i="6"/>
  <c r="FB97" i="6"/>
  <c r="FB121" i="6"/>
  <c r="FB100" i="6"/>
  <c r="FV122" i="6"/>
  <c r="FV121" i="6"/>
  <c r="FV105" i="6"/>
  <c r="FT121" i="6"/>
  <c r="FV106" i="6"/>
  <c r="GX121" i="6"/>
  <c r="GX122" i="6"/>
  <c r="GV121" i="6"/>
  <c r="GX106" i="6"/>
  <c r="GX97" i="6"/>
  <c r="GX100" i="6"/>
  <c r="HH121" i="6"/>
  <c r="HH122" i="6"/>
  <c r="HH105" i="6"/>
  <c r="HH106" i="6"/>
  <c r="CI29" i="6"/>
  <c r="GX29" i="6"/>
  <c r="H104" i="6"/>
  <c r="H120" i="6"/>
  <c r="H85" i="6" s="1"/>
  <c r="CE120" i="6"/>
  <c r="CE85" i="6" s="1"/>
  <c r="CE104" i="6"/>
  <c r="CD120" i="6"/>
  <c r="CD85" i="6" s="1"/>
  <c r="DW104" i="6"/>
  <c r="DW120" i="6"/>
  <c r="EI120" i="6"/>
  <c r="EI104" i="6"/>
  <c r="FD120" i="6"/>
  <c r="FF120" i="6"/>
  <c r="FF85" i="6" s="1"/>
  <c r="FT120" i="6"/>
  <c r="FV104" i="6"/>
  <c r="FV120" i="6"/>
  <c r="FV85" i="6" s="1"/>
  <c r="GJ120" i="6"/>
  <c r="GL120" i="6"/>
  <c r="GL97" i="6"/>
  <c r="GZ120" i="6"/>
  <c r="HB104" i="6"/>
  <c r="HB120" i="6"/>
  <c r="HB85" i="6" s="1"/>
  <c r="G125" i="6"/>
  <c r="G87" i="6" s="1"/>
  <c r="G126" i="6"/>
  <c r="W125" i="6"/>
  <c r="W87" i="6" s="1"/>
  <c r="W126" i="6"/>
  <c r="AD125" i="6"/>
  <c r="AD87" i="6" s="1"/>
  <c r="AD126" i="6"/>
  <c r="AR126" i="6"/>
  <c r="AR125" i="6"/>
  <c r="AR87" i="6" s="1"/>
  <c r="BN125" i="6"/>
  <c r="BN87" i="6" s="1"/>
  <c r="BN126" i="6"/>
  <c r="BL125" i="6"/>
  <c r="BL87" i="6" s="1"/>
  <c r="BV126" i="6"/>
  <c r="BV125" i="6"/>
  <c r="BV87" i="6" s="1"/>
  <c r="CD125" i="6"/>
  <c r="CD87" i="6" s="1"/>
  <c r="CD126" i="6"/>
  <c r="DV125" i="6"/>
  <c r="DV87" i="6" s="1"/>
  <c r="DV126" i="6"/>
  <c r="DT125" i="6"/>
  <c r="DT87" i="6" s="1"/>
  <c r="EQ125" i="6"/>
  <c r="EQ87" i="6" s="1"/>
  <c r="EQ126" i="6"/>
  <c r="FV126" i="6"/>
  <c r="FT125" i="6"/>
  <c r="FT87" i="6" s="1"/>
  <c r="FV125" i="6"/>
  <c r="FV87" i="6" s="1"/>
  <c r="BN35" i="6"/>
  <c r="EQ35" i="6"/>
  <c r="Z123" i="6"/>
  <c r="Z124" i="6"/>
  <c r="EL123" i="6"/>
  <c r="EL124" i="6"/>
  <c r="EJ123" i="6"/>
  <c r="Y37" i="6"/>
  <c r="AN37" i="6"/>
  <c r="AN35" i="6" s="1"/>
  <c r="AU37" i="6"/>
  <c r="DP96" i="6"/>
  <c r="DP94" i="6"/>
  <c r="EI37" i="6"/>
  <c r="FJ96" i="6"/>
  <c r="FJ94" i="6"/>
  <c r="FR37" i="6"/>
  <c r="FZ96" i="6"/>
  <c r="FZ94" i="6"/>
  <c r="GH37" i="6"/>
  <c r="GY37" i="6"/>
  <c r="AU104" i="6"/>
  <c r="BJ104" i="6"/>
  <c r="EU104" i="6"/>
  <c r="GY104" i="6"/>
  <c r="DH127" i="6"/>
  <c r="DH129" i="6"/>
  <c r="DH106" i="6"/>
  <c r="E130" i="6"/>
  <c r="E128" i="6"/>
  <c r="E105" i="6"/>
  <c r="W128" i="6"/>
  <c r="W130" i="6"/>
  <c r="W105" i="6"/>
  <c r="AD128" i="6"/>
  <c r="AD130" i="6"/>
  <c r="AD105" i="6"/>
  <c r="BI130" i="6"/>
  <c r="BI128" i="6"/>
  <c r="BI105" i="6"/>
  <c r="CM130" i="6"/>
  <c r="CK130" i="6"/>
  <c r="CM128" i="6"/>
  <c r="CM105" i="6"/>
  <c r="DZ130" i="6"/>
  <c r="DX130" i="6"/>
  <c r="DZ128" i="6"/>
  <c r="DZ105" i="6"/>
  <c r="EH128" i="6"/>
  <c r="EH130" i="6"/>
  <c r="EF130" i="6"/>
  <c r="EH105" i="6"/>
  <c r="ET130" i="6"/>
  <c r="ER130" i="6"/>
  <c r="ET128" i="6"/>
  <c r="ET105" i="6"/>
  <c r="FP130" i="6"/>
  <c r="FR128" i="6"/>
  <c r="FR130" i="6"/>
  <c r="FR105" i="6"/>
  <c r="GP130" i="6"/>
  <c r="GN130" i="6"/>
  <c r="GP128" i="6"/>
  <c r="GP105" i="6"/>
  <c r="X101" i="6"/>
  <c r="AU101" i="6"/>
  <c r="BH101" i="6"/>
  <c r="DZ101" i="6"/>
  <c r="DV100" i="6"/>
  <c r="R85" i="6"/>
  <c r="Y85" i="6"/>
  <c r="CI85" i="6"/>
  <c r="EP85" i="6"/>
  <c r="GL85" i="6"/>
  <c r="L86" i="6"/>
  <c r="AD90" i="6"/>
  <c r="CY90" i="6"/>
  <c r="AL94" i="6"/>
  <c r="CY94" i="6"/>
  <c r="GQ94" i="6"/>
  <c r="DH95" i="6"/>
  <c r="ED95" i="6"/>
  <c r="E96" i="6"/>
  <c r="S96" i="6"/>
  <c r="AE96" i="6"/>
  <c r="AY96" i="6"/>
  <c r="BV96" i="6"/>
  <c r="CD96" i="6"/>
  <c r="EL96" i="6"/>
  <c r="H97" i="6"/>
  <c r="AL97" i="6"/>
  <c r="HG107" i="6"/>
  <c r="M122" i="6"/>
  <c r="M121" i="6"/>
  <c r="M108" i="6" s="1"/>
  <c r="M105" i="6"/>
  <c r="M106" i="6"/>
  <c r="AI122" i="6"/>
  <c r="AI105" i="6"/>
  <c r="AI121" i="6"/>
  <c r="AI106" i="6"/>
  <c r="BC121" i="6"/>
  <c r="BC95" i="6"/>
  <c r="BQ122" i="6"/>
  <c r="BQ121" i="6"/>
  <c r="BQ107" i="6" s="1"/>
  <c r="BQ105" i="6"/>
  <c r="BQ100" i="6"/>
  <c r="BQ106" i="6"/>
  <c r="BQ97" i="6"/>
  <c r="BQ95" i="6"/>
  <c r="CI122" i="6"/>
  <c r="CI121" i="6"/>
  <c r="CI105" i="6"/>
  <c r="CI106" i="6"/>
  <c r="CI100" i="6"/>
  <c r="CG121" i="6"/>
  <c r="DV122" i="6"/>
  <c r="DT121" i="6"/>
  <c r="DV121" i="6"/>
  <c r="DV105" i="6"/>
  <c r="DV106" i="6"/>
  <c r="DV97" i="6"/>
  <c r="EP122" i="6"/>
  <c r="EP121" i="6"/>
  <c r="EP105" i="6"/>
  <c r="EP106" i="6"/>
  <c r="EP100" i="6"/>
  <c r="EN121" i="6"/>
  <c r="FC122" i="6"/>
  <c r="FC106" i="6"/>
  <c r="FC121" i="6"/>
  <c r="FC105" i="6"/>
  <c r="FW122" i="6"/>
  <c r="FW105" i="6"/>
  <c r="FW121" i="6"/>
  <c r="FW106" i="6"/>
  <c r="GY122" i="6"/>
  <c r="GY106" i="6"/>
  <c r="GY121" i="6"/>
  <c r="L29" i="6"/>
  <c r="AH29" i="6"/>
  <c r="FB29" i="6"/>
  <c r="GY29" i="6"/>
  <c r="HH29" i="6"/>
  <c r="J120" i="6"/>
  <c r="L104" i="6"/>
  <c r="L120" i="6"/>
  <c r="L85" i="6" s="1"/>
  <c r="AR120" i="6"/>
  <c r="AR85" i="6" s="1"/>
  <c r="AR97" i="6"/>
  <c r="BA120" i="6"/>
  <c r="BC104" i="6"/>
  <c r="BC120" i="6"/>
  <c r="BC85" i="6" s="1"/>
  <c r="BC97" i="6"/>
  <c r="BO120" i="6"/>
  <c r="BO85" i="6" s="1"/>
  <c r="BP120" i="6"/>
  <c r="BP85" i="6" s="1"/>
  <c r="CT120" i="6"/>
  <c r="CT85" i="6" s="1"/>
  <c r="CT97" i="6"/>
  <c r="CR120" i="6"/>
  <c r="ED120" i="6"/>
  <c r="EB120" i="6"/>
  <c r="EL97" i="6"/>
  <c r="EL120" i="6"/>
  <c r="EL85" i="6" s="1"/>
  <c r="EJ120" i="6"/>
  <c r="EX120" i="6"/>
  <c r="EX85" i="6" s="1"/>
  <c r="EX104" i="6"/>
  <c r="EV120" i="6"/>
  <c r="FL120" i="6"/>
  <c r="FN104" i="6"/>
  <c r="FN97" i="6"/>
  <c r="FN120" i="6"/>
  <c r="FN85" i="6" s="1"/>
  <c r="FW120" i="6"/>
  <c r="FW104" i="6"/>
  <c r="GP120" i="6"/>
  <c r="GP85" i="6" s="1"/>
  <c r="GP104" i="6"/>
  <c r="GN120" i="6"/>
  <c r="GP97" i="6"/>
  <c r="HF120" i="6"/>
  <c r="HF85" i="6" s="1"/>
  <c r="HG104" i="6"/>
  <c r="HG120" i="6"/>
  <c r="HG85" i="6" s="1"/>
  <c r="H125" i="6"/>
  <c r="H87" i="6" s="1"/>
  <c r="H126" i="6"/>
  <c r="X125" i="6"/>
  <c r="X87" i="6" s="1"/>
  <c r="X126" i="6"/>
  <c r="AE125" i="6"/>
  <c r="AE87" i="6" s="1"/>
  <c r="AE126" i="6"/>
  <c r="AS125" i="6"/>
  <c r="AS87" i="6" s="1"/>
  <c r="AS126" i="6"/>
  <c r="BO125" i="6"/>
  <c r="BO87" i="6" s="1"/>
  <c r="BO126" i="6"/>
  <c r="BY125" i="6"/>
  <c r="BY87" i="6" s="1"/>
  <c r="BY126" i="6"/>
  <c r="BW125" i="6"/>
  <c r="BW87" i="6" s="1"/>
  <c r="CE125" i="6"/>
  <c r="CE87" i="6" s="1"/>
  <c r="CE126" i="6"/>
  <c r="EH125" i="6"/>
  <c r="EH87" i="6" s="1"/>
  <c r="EH126" i="6"/>
  <c r="EF125" i="6"/>
  <c r="EF87" i="6" s="1"/>
  <c r="ET125" i="6"/>
  <c r="ET87" i="6" s="1"/>
  <c r="ET126" i="6"/>
  <c r="ER125" i="6"/>
  <c r="ER87" i="6" s="1"/>
  <c r="FW125" i="6"/>
  <c r="FW87" i="6" s="1"/>
  <c r="FW126" i="6"/>
  <c r="BO35" i="6"/>
  <c r="BV35" i="6"/>
  <c r="CD35" i="6"/>
  <c r="G123" i="6"/>
  <c r="G124" i="6"/>
  <c r="F123" i="6"/>
  <c r="AS123" i="6"/>
  <c r="AS124" i="6"/>
  <c r="AR123" i="6"/>
  <c r="FO123" i="6"/>
  <c r="FO124" i="6"/>
  <c r="FN123" i="6"/>
  <c r="FO96" i="6"/>
  <c r="AR37" i="6"/>
  <c r="CM96" i="6"/>
  <c r="CM94" i="6"/>
  <c r="DH96" i="6"/>
  <c r="DH94" i="6"/>
  <c r="DV37" i="6"/>
  <c r="ED37" i="6"/>
  <c r="EL37" i="6"/>
  <c r="ET37" i="6"/>
  <c r="FC37" i="6"/>
  <c r="HB37" i="6"/>
  <c r="Y104" i="6"/>
  <c r="ED104" i="6"/>
  <c r="FF104" i="6"/>
  <c r="GL104" i="6"/>
  <c r="DI127" i="6"/>
  <c r="DI106" i="6"/>
  <c r="F130" i="6"/>
  <c r="F128" i="6"/>
  <c r="F105" i="6"/>
  <c r="Q130" i="6"/>
  <c r="Q128" i="6"/>
  <c r="Q105" i="6"/>
  <c r="X130" i="6"/>
  <c r="X128" i="6"/>
  <c r="X105" i="6"/>
  <c r="AE130" i="6"/>
  <c r="AE128" i="6"/>
  <c r="AE105" i="6"/>
  <c r="BJ130" i="6"/>
  <c r="BJ128" i="6"/>
  <c r="BJ105" i="6"/>
  <c r="CN130" i="6"/>
  <c r="CN128" i="6"/>
  <c r="CN105" i="6"/>
  <c r="EA128" i="6"/>
  <c r="EA130" i="6"/>
  <c r="EA105" i="6"/>
  <c r="EI130" i="6"/>
  <c r="EI128" i="6"/>
  <c r="EI105" i="6"/>
  <c r="EU130" i="6"/>
  <c r="EU128" i="6"/>
  <c r="EU105" i="6"/>
  <c r="FS128" i="6"/>
  <c r="FS130" i="6"/>
  <c r="FS105" i="6"/>
  <c r="GQ130" i="6"/>
  <c r="GQ128" i="6"/>
  <c r="GQ105" i="6"/>
  <c r="CM50" i="6"/>
  <c r="FG51" i="6"/>
  <c r="ED52" i="6"/>
  <c r="CM101" i="6"/>
  <c r="EX101" i="6"/>
  <c r="HG100" i="6"/>
  <c r="ED85" i="6"/>
  <c r="GP88" i="6"/>
  <c r="W90" i="6"/>
  <c r="AZ90" i="6"/>
  <c r="CX91" i="6"/>
  <c r="F94" i="6"/>
  <c r="AD94" i="6"/>
  <c r="BN94" i="6"/>
  <c r="DI94" i="6"/>
  <c r="FS94" i="6"/>
  <c r="L95" i="6"/>
  <c r="BO95" i="6"/>
  <c r="CC95" i="6"/>
  <c r="FB95" i="6"/>
  <c r="FR95" i="6"/>
  <c r="GX95" i="6"/>
  <c r="M96" i="6"/>
  <c r="X96" i="6"/>
  <c r="AS96" i="6"/>
  <c r="Y97" i="6"/>
  <c r="AU97" i="6"/>
  <c r="FV97" i="6"/>
  <c r="EX107" i="6"/>
  <c r="CE108" i="6"/>
  <c r="BF109" i="7"/>
  <c r="BF112" i="7"/>
  <c r="BF21" i="7"/>
  <c r="BF24" i="7" s="1"/>
  <c r="BA114" i="7"/>
  <c r="AW112" i="7"/>
  <c r="AW88" i="7"/>
  <c r="AW109" i="7"/>
  <c r="AW21" i="7"/>
  <c r="AW24" i="7" s="1"/>
  <c r="AL87" i="7"/>
  <c r="F91" i="7"/>
  <c r="F90" i="7"/>
  <c r="AP96" i="7"/>
  <c r="AP94" i="7"/>
  <c r="AP34" i="7"/>
  <c r="BA94" i="7"/>
  <c r="BA35" i="7"/>
  <c r="N109" i="7"/>
  <c r="N112" i="7"/>
  <c r="AL112" i="7"/>
  <c r="AL109" i="7"/>
  <c r="AX112" i="7"/>
  <c r="AX109" i="7"/>
  <c r="AX88" i="7"/>
  <c r="BE90" i="7"/>
  <c r="BE91" i="7"/>
  <c r="V91" i="7"/>
  <c r="V90" i="7"/>
  <c r="BQ114" i="7"/>
  <c r="BQ84" i="7"/>
  <c r="AS96" i="7"/>
  <c r="AS94" i="7"/>
  <c r="AS35" i="7"/>
  <c r="AS101" i="7"/>
  <c r="AS113" i="7"/>
  <c r="AS13" i="7"/>
  <c r="BE112" i="7"/>
  <c r="BE109" i="7"/>
  <c r="BE21" i="7"/>
  <c r="BE24" i="7" s="1"/>
  <c r="Y90" i="7"/>
  <c r="Y91" i="7"/>
  <c r="Q96" i="7"/>
  <c r="Q94" i="7"/>
  <c r="Q35" i="7"/>
  <c r="BI96" i="7"/>
  <c r="BI94" i="7"/>
  <c r="BI35" i="7"/>
  <c r="CC96" i="7"/>
  <c r="CC94" i="7"/>
  <c r="CC35" i="7"/>
  <c r="AO125" i="7"/>
  <c r="AO87" i="7" s="1"/>
  <c r="AO126" i="7"/>
  <c r="AM125" i="7"/>
  <c r="AM87" i="7" s="1"/>
  <c r="AK19" i="7"/>
  <c r="AK18" i="7" s="1"/>
  <c r="J109" i="7"/>
  <c r="J112" i="7"/>
  <c r="R9" i="7"/>
  <c r="R90" i="7" s="1"/>
  <c r="Z109" i="7"/>
  <c r="Z112" i="7"/>
  <c r="Z88" i="7"/>
  <c r="AH109" i="7"/>
  <c r="AH112" i="7"/>
  <c r="AP112" i="7"/>
  <c r="AP88" i="7"/>
  <c r="BN9" i="7"/>
  <c r="BN90" i="7" s="1"/>
  <c r="BV109" i="7"/>
  <c r="BV112" i="7"/>
  <c r="N12" i="7"/>
  <c r="BU13" i="7"/>
  <c r="N14" i="7"/>
  <c r="AL14" i="7"/>
  <c r="BM14" i="7"/>
  <c r="BV88" i="7"/>
  <c r="V109" i="7"/>
  <c r="AP109" i="7"/>
  <c r="BQ109" i="7"/>
  <c r="BQ115" i="7"/>
  <c r="BQ107" i="7" s="1"/>
  <c r="Z90" i="7"/>
  <c r="Z91" i="7"/>
  <c r="AH90" i="7"/>
  <c r="AH91" i="7"/>
  <c r="J21" i="7"/>
  <c r="J24" i="7" s="1"/>
  <c r="U21" i="7"/>
  <c r="U24" i="7" s="1"/>
  <c r="AD21" i="7"/>
  <c r="AD24" i="7" s="1"/>
  <c r="AP21" i="7"/>
  <c r="AP24" i="7" s="1"/>
  <c r="BV21" i="7"/>
  <c r="BV24" i="7" s="1"/>
  <c r="I121" i="7"/>
  <c r="AK97" i="7"/>
  <c r="BC108" i="7"/>
  <c r="BC86" i="7"/>
  <c r="BA29" i="7"/>
  <c r="AC120" i="7"/>
  <c r="AC85" i="7" s="1"/>
  <c r="AO120" i="7"/>
  <c r="AO85" i="7" s="1"/>
  <c r="BU120" i="7"/>
  <c r="BU85" i="7" s="1"/>
  <c r="AW125" i="7"/>
  <c r="AW87" i="7" s="1"/>
  <c r="AU125" i="7"/>
  <c r="AU87" i="7" s="1"/>
  <c r="AW126" i="7"/>
  <c r="BI126" i="7"/>
  <c r="BG125" i="7"/>
  <c r="BG87" i="7" s="1"/>
  <c r="BI125" i="7"/>
  <c r="BI87" i="7" s="1"/>
  <c r="BV126" i="7"/>
  <c r="BV125" i="7"/>
  <c r="BV87" i="7" s="1"/>
  <c r="AH35" i="7"/>
  <c r="AH96" i="7"/>
  <c r="AH124" i="7"/>
  <c r="AH123" i="7"/>
  <c r="AG123" i="7"/>
  <c r="BE123" i="7"/>
  <c r="BC123" i="7"/>
  <c r="BE124" i="7"/>
  <c r="F96" i="7"/>
  <c r="F94" i="7"/>
  <c r="AG96" i="7"/>
  <c r="AG94" i="7"/>
  <c r="AG35" i="7"/>
  <c r="BU96" i="7"/>
  <c r="BU94" i="7"/>
  <c r="Q104" i="7"/>
  <c r="BA104" i="7"/>
  <c r="BI104" i="7"/>
  <c r="BY104" i="7"/>
  <c r="BF127" i="7"/>
  <c r="BF106" i="7"/>
  <c r="N128" i="7"/>
  <c r="N130" i="7"/>
  <c r="N105" i="7"/>
  <c r="V128" i="7"/>
  <c r="V130" i="7"/>
  <c r="V105" i="7"/>
  <c r="AH128" i="7"/>
  <c r="AH130" i="7"/>
  <c r="AH105" i="7"/>
  <c r="AU130" i="7"/>
  <c r="AW128" i="7"/>
  <c r="AW130" i="7"/>
  <c r="AW105" i="7"/>
  <c r="BI128" i="7"/>
  <c r="BI130" i="7"/>
  <c r="BG130" i="7"/>
  <c r="BI105" i="7"/>
  <c r="BQ130" i="7"/>
  <c r="BO130" i="7"/>
  <c r="BQ128" i="7"/>
  <c r="BQ105" i="7"/>
  <c r="BY128" i="7"/>
  <c r="BY130" i="7"/>
  <c r="BW130" i="7"/>
  <c r="BY105" i="7"/>
  <c r="BQ52" i="7"/>
  <c r="AS100" i="7"/>
  <c r="AC88" i="7"/>
  <c r="AK14" i="7"/>
  <c r="BI14" i="7"/>
  <c r="E112" i="7"/>
  <c r="E88" i="7"/>
  <c r="M9" i="7"/>
  <c r="AK9" i="7"/>
  <c r="AS9" i="7"/>
  <c r="AS90" i="7" s="1"/>
  <c r="BA109" i="7"/>
  <c r="BA112" i="7"/>
  <c r="BA88" i="7"/>
  <c r="BI9" i="7"/>
  <c r="BI109" i="7" s="1"/>
  <c r="AT13" i="7"/>
  <c r="AT91" i="7" s="1"/>
  <c r="BE101" i="7"/>
  <c r="BE113" i="7"/>
  <c r="BN88" i="7"/>
  <c r="BY113" i="7"/>
  <c r="BY88" i="7"/>
  <c r="BY101" i="7"/>
  <c r="BY13" i="7"/>
  <c r="BY91" i="7" s="1"/>
  <c r="E109" i="7"/>
  <c r="E115" i="7"/>
  <c r="AC109" i="7"/>
  <c r="AC115" i="7"/>
  <c r="AC107" i="7" s="1"/>
  <c r="BI115" i="7"/>
  <c r="BR109" i="7"/>
  <c r="I90" i="7"/>
  <c r="I91" i="7"/>
  <c r="AC18" i="7"/>
  <c r="AW91" i="7"/>
  <c r="AW90" i="7"/>
  <c r="BI18" i="7"/>
  <c r="BQ90" i="7"/>
  <c r="BQ91" i="7"/>
  <c r="BZ90" i="7"/>
  <c r="BZ91" i="7"/>
  <c r="AL19" i="7"/>
  <c r="AL18" i="7" s="1"/>
  <c r="V21" i="7"/>
  <c r="V24" i="7" s="1"/>
  <c r="AH21" i="7"/>
  <c r="AH24" i="7" s="1"/>
  <c r="BY21" i="7"/>
  <c r="BY24" i="7" s="1"/>
  <c r="J121" i="7"/>
  <c r="J105" i="7"/>
  <c r="J122" i="7"/>
  <c r="J106" i="7"/>
  <c r="V121" i="7"/>
  <c r="U95" i="7"/>
  <c r="V106" i="7"/>
  <c r="V122" i="7"/>
  <c r="AL121" i="7"/>
  <c r="AL108" i="7" s="1"/>
  <c r="AL105" i="7"/>
  <c r="AK95" i="7"/>
  <c r="AL122" i="7"/>
  <c r="AX122" i="7"/>
  <c r="AX106" i="7"/>
  <c r="AW95" i="7"/>
  <c r="AX121" i="7"/>
  <c r="AX108" i="7" s="1"/>
  <c r="AX29" i="7"/>
  <c r="BF122" i="7"/>
  <c r="BF105" i="7"/>
  <c r="BF121" i="7"/>
  <c r="BF29" i="7"/>
  <c r="BN122" i="7"/>
  <c r="BN106" i="7"/>
  <c r="BM95" i="7"/>
  <c r="BN121" i="7"/>
  <c r="BN108" i="7" s="1"/>
  <c r="AS29" i="7"/>
  <c r="G120" i="7"/>
  <c r="I120" i="7"/>
  <c r="I85" i="7" s="1"/>
  <c r="U120" i="7"/>
  <c r="U85" i="7" s="1"/>
  <c r="V120" i="7"/>
  <c r="AD120" i="7"/>
  <c r="AD37" i="7"/>
  <c r="AP120" i="7"/>
  <c r="AP29" i="7"/>
  <c r="BA120" i="7"/>
  <c r="BA85" i="7" s="1"/>
  <c r="AY120" i="7"/>
  <c r="BK120" i="7"/>
  <c r="BM120" i="7"/>
  <c r="BM85" i="7" s="1"/>
  <c r="BV120" i="7"/>
  <c r="BV104" i="7"/>
  <c r="BV29" i="7"/>
  <c r="F34" i="7"/>
  <c r="F126" i="7" s="1"/>
  <c r="AD126" i="7"/>
  <c r="AD125" i="7"/>
  <c r="AD87" i="7" s="1"/>
  <c r="AL125" i="7"/>
  <c r="AL126" i="7"/>
  <c r="BF126" i="7"/>
  <c r="BE125" i="7"/>
  <c r="BE87" i="7" s="1"/>
  <c r="BF125" i="7"/>
  <c r="CC125" i="7"/>
  <c r="CA125" i="7"/>
  <c r="CA87" i="7" s="1"/>
  <c r="CC126" i="7"/>
  <c r="AX126" i="7"/>
  <c r="AX125" i="7"/>
  <c r="AX87" i="7" s="1"/>
  <c r="AX35" i="7"/>
  <c r="AK124" i="7"/>
  <c r="AI123" i="7"/>
  <c r="AK123" i="7"/>
  <c r="BM124" i="7"/>
  <c r="BM123" i="7"/>
  <c r="BK123" i="7"/>
  <c r="I37" i="7"/>
  <c r="U96" i="7"/>
  <c r="U94" i="7"/>
  <c r="U35" i="7"/>
  <c r="BM37" i="7"/>
  <c r="BM96" i="7" s="1"/>
  <c r="BV37" i="7"/>
  <c r="AD104" i="7"/>
  <c r="AP104" i="7"/>
  <c r="BR104" i="7"/>
  <c r="AK129" i="7"/>
  <c r="AK127" i="7"/>
  <c r="AK106" i="7"/>
  <c r="E130" i="7"/>
  <c r="C130" i="7"/>
  <c r="E128" i="7"/>
  <c r="E105" i="7"/>
  <c r="O130" i="7"/>
  <c r="Q128" i="7"/>
  <c r="Q130" i="7"/>
  <c r="Q105" i="7"/>
  <c r="AC128" i="7"/>
  <c r="AC130" i="7"/>
  <c r="AA130" i="7"/>
  <c r="AC105" i="7"/>
  <c r="AK130" i="7"/>
  <c r="AI130" i="7"/>
  <c r="AK128" i="7"/>
  <c r="AK105" i="7"/>
  <c r="AX128" i="7"/>
  <c r="AX130" i="7"/>
  <c r="AX105" i="7"/>
  <c r="BJ128" i="7"/>
  <c r="BJ130" i="7"/>
  <c r="BJ105" i="7"/>
  <c r="BR128" i="7"/>
  <c r="BR130" i="7"/>
  <c r="BR105" i="7"/>
  <c r="BZ128" i="7"/>
  <c r="BZ130" i="7"/>
  <c r="BZ105" i="7"/>
  <c r="E52" i="7"/>
  <c r="M85" i="7"/>
  <c r="N86" i="7"/>
  <c r="AL86" i="7"/>
  <c r="AX86" i="7"/>
  <c r="BU19" i="7"/>
  <c r="BU18" i="7" s="1"/>
  <c r="F112" i="7"/>
  <c r="F88" i="7"/>
  <c r="AT109" i="7"/>
  <c r="AT112" i="7"/>
  <c r="BB112" i="7"/>
  <c r="BB109" i="7"/>
  <c r="BB88" i="7"/>
  <c r="BJ9" i="7"/>
  <c r="BZ109" i="7"/>
  <c r="BZ112" i="7"/>
  <c r="U113" i="7"/>
  <c r="U101" i="7"/>
  <c r="U88" i="7"/>
  <c r="U13" i="7"/>
  <c r="U90" i="7" s="1"/>
  <c r="AG113" i="7"/>
  <c r="AG88" i="7"/>
  <c r="AG101" i="7"/>
  <c r="AG13" i="7"/>
  <c r="AG91" i="7" s="1"/>
  <c r="BF88" i="7"/>
  <c r="F109" i="7"/>
  <c r="AD109" i="7"/>
  <c r="BJ109" i="7"/>
  <c r="AD90" i="7"/>
  <c r="AD91" i="7"/>
  <c r="AO90" i="7"/>
  <c r="BA90" i="7"/>
  <c r="BA91" i="7"/>
  <c r="BR91" i="7"/>
  <c r="BR90" i="7"/>
  <c r="AX19" i="7"/>
  <c r="AX18" i="7" s="1"/>
  <c r="BF90" i="7"/>
  <c r="BF91" i="7"/>
  <c r="BV90" i="7"/>
  <c r="BV91" i="7"/>
  <c r="E21" i="7"/>
  <c r="E24" i="7" s="1"/>
  <c r="AT21" i="7"/>
  <c r="AT24" i="7" s="1"/>
  <c r="BZ21" i="7"/>
  <c r="BZ24" i="7" s="1"/>
  <c r="C121" i="7"/>
  <c r="E97" i="7"/>
  <c r="E95" i="7"/>
  <c r="E122" i="7"/>
  <c r="E106" i="7"/>
  <c r="E121" i="7"/>
  <c r="E86" i="7" s="1"/>
  <c r="E100" i="7"/>
  <c r="Q121" i="7"/>
  <c r="O121" i="7"/>
  <c r="Q100" i="7"/>
  <c r="Q122" i="7"/>
  <c r="Q106" i="7"/>
  <c r="Q97" i="7"/>
  <c r="Q95" i="7"/>
  <c r="Y122" i="7"/>
  <c r="W121" i="7"/>
  <c r="Y105" i="7"/>
  <c r="Y100" i="7"/>
  <c r="Y121" i="7"/>
  <c r="Y106" i="7"/>
  <c r="Y97" i="7"/>
  <c r="Y95" i="7"/>
  <c r="AS122" i="7"/>
  <c r="AQ121" i="7"/>
  <c r="AS106" i="7"/>
  <c r="AS121" i="7"/>
  <c r="AS97" i="7"/>
  <c r="AS95" i="7"/>
  <c r="AS105" i="7"/>
  <c r="BA97" i="7"/>
  <c r="BA95" i="7"/>
  <c r="BA122" i="7"/>
  <c r="BA121" i="7"/>
  <c r="AY121" i="7"/>
  <c r="BA106" i="7"/>
  <c r="BA100" i="7"/>
  <c r="BI122" i="7"/>
  <c r="BG121" i="7"/>
  <c r="BI106" i="7"/>
  <c r="BI121" i="7"/>
  <c r="BI86" i="7" s="1"/>
  <c r="BI100" i="7"/>
  <c r="BI97" i="7"/>
  <c r="BI95" i="7"/>
  <c r="BU122" i="7"/>
  <c r="BU121" i="7"/>
  <c r="BU108" i="7" s="1"/>
  <c r="BU100" i="7"/>
  <c r="BS121" i="7"/>
  <c r="BU97" i="7"/>
  <c r="BU95" i="7"/>
  <c r="BU106" i="7"/>
  <c r="Q29" i="7"/>
  <c r="J120" i="7"/>
  <c r="J104" i="7"/>
  <c r="J37" i="7"/>
  <c r="J29" i="7"/>
  <c r="Y104" i="7"/>
  <c r="Y120" i="7"/>
  <c r="Y85" i="7" s="1"/>
  <c r="W120" i="7"/>
  <c r="AK120" i="7"/>
  <c r="AK85" i="7" s="1"/>
  <c r="AK104" i="7"/>
  <c r="AI120" i="7"/>
  <c r="AS120" i="7"/>
  <c r="AS85" i="7" s="1"/>
  <c r="AS104" i="7"/>
  <c r="AQ120" i="7"/>
  <c r="BC120" i="7"/>
  <c r="BE120" i="7"/>
  <c r="BE85" i="7" s="1"/>
  <c r="BN120" i="7"/>
  <c r="BN29" i="7"/>
  <c r="BW120" i="7"/>
  <c r="BY97" i="7"/>
  <c r="BY120" i="7"/>
  <c r="BY85" i="7" s="1"/>
  <c r="U126" i="7"/>
  <c r="U125" i="7"/>
  <c r="U87" i="7" s="1"/>
  <c r="S125" i="7"/>
  <c r="S87" i="7" s="1"/>
  <c r="AG125" i="7"/>
  <c r="AG87" i="7" s="1"/>
  <c r="AG126" i="7"/>
  <c r="AE125" i="7"/>
  <c r="AE87" i="7" s="1"/>
  <c r="AS126" i="7"/>
  <c r="AQ125" i="7"/>
  <c r="AQ87" i="7" s="1"/>
  <c r="AS125" i="7"/>
  <c r="AS87" i="7" s="1"/>
  <c r="BQ126" i="7"/>
  <c r="BO125" i="7"/>
  <c r="BO87" i="7" s="1"/>
  <c r="BQ125" i="7"/>
  <c r="BQ87" i="7" s="1"/>
  <c r="M96" i="7"/>
  <c r="M94" i="7"/>
  <c r="M35" i="7"/>
  <c r="V96" i="7"/>
  <c r="V94" i="7"/>
  <c r="AK37" i="7"/>
  <c r="AW96" i="7"/>
  <c r="AW94" i="7"/>
  <c r="BE37" i="7"/>
  <c r="BE96" i="7" s="1"/>
  <c r="BN37" i="7"/>
  <c r="BY37" i="7"/>
  <c r="I104" i="7"/>
  <c r="BE104" i="7"/>
  <c r="BM104" i="7"/>
  <c r="AL127" i="7"/>
  <c r="AL106" i="7"/>
  <c r="F128" i="7"/>
  <c r="F130" i="7"/>
  <c r="F105" i="7"/>
  <c r="R128" i="7"/>
  <c r="R130" i="7"/>
  <c r="R105" i="7"/>
  <c r="AD128" i="7"/>
  <c r="AD130" i="7"/>
  <c r="AD105" i="7"/>
  <c r="AD51" i="7"/>
  <c r="AD50" i="7" s="1"/>
  <c r="AO128" i="7"/>
  <c r="AO130" i="7"/>
  <c r="AM130" i="7"/>
  <c r="AO105" i="7"/>
  <c r="BA130" i="7"/>
  <c r="AY130" i="7"/>
  <c r="BA128" i="7"/>
  <c r="BA105" i="7"/>
  <c r="BK130" i="7"/>
  <c r="BM128" i="7"/>
  <c r="BM130" i="7"/>
  <c r="BM105" i="7"/>
  <c r="BU128" i="7"/>
  <c r="BU130" i="7"/>
  <c r="BS130" i="7"/>
  <c r="BU105" i="7"/>
  <c r="CA130" i="7"/>
  <c r="CC128" i="7"/>
  <c r="CC130" i="7"/>
  <c r="CC105" i="7"/>
  <c r="BM51" i="7"/>
  <c r="BI52" i="7"/>
  <c r="BM101" i="7"/>
  <c r="M87" i="7"/>
  <c r="BE88" i="7"/>
  <c r="BZ88" i="7"/>
  <c r="Q113" i="7"/>
  <c r="Q101" i="7"/>
  <c r="AS86" i="7"/>
  <c r="BF87" i="7"/>
  <c r="CC19" i="7"/>
  <c r="CC18" i="7" s="1"/>
  <c r="I109" i="7"/>
  <c r="I112" i="7"/>
  <c r="I21" i="7"/>
  <c r="I24" i="7" s="1"/>
  <c r="Q9" i="7"/>
  <c r="Q91" i="7" s="1"/>
  <c r="Y112" i="7"/>
  <c r="Y109" i="7"/>
  <c r="Y21" i="7"/>
  <c r="Y24" i="7" s="1"/>
  <c r="AG112" i="7"/>
  <c r="AG109" i="7"/>
  <c r="AG21" i="7"/>
  <c r="AG24" i="7" s="1"/>
  <c r="AO112" i="7"/>
  <c r="AO21" i="7"/>
  <c r="AO24" i="7" s="1"/>
  <c r="BM9" i="7"/>
  <c r="BU9" i="7"/>
  <c r="CC9" i="7"/>
  <c r="CC88" i="7" s="1"/>
  <c r="M12" i="7"/>
  <c r="J13" i="7"/>
  <c r="J90" i="7" s="1"/>
  <c r="M14" i="7"/>
  <c r="V88" i="7"/>
  <c r="BJ14" i="7"/>
  <c r="BU101" i="7"/>
  <c r="BU113" i="7"/>
  <c r="CC113" i="7"/>
  <c r="CC101" i="7"/>
  <c r="U109" i="7"/>
  <c r="U115" i="7"/>
  <c r="AO115" i="7"/>
  <c r="AO107" i="7" s="1"/>
  <c r="AO109" i="7"/>
  <c r="AO52" i="7"/>
  <c r="BM109" i="7"/>
  <c r="BM115" i="7"/>
  <c r="E18" i="7"/>
  <c r="BB91" i="7"/>
  <c r="BB90" i="7"/>
  <c r="BM18" i="7"/>
  <c r="AP90" i="7"/>
  <c r="AP91" i="7"/>
  <c r="BJ19" i="7"/>
  <c r="BJ18" i="7" s="1"/>
  <c r="F21" i="7"/>
  <c r="F24" i="7" s="1"/>
  <c r="AC21" i="7"/>
  <c r="AC24" i="7" s="1"/>
  <c r="BR21" i="7"/>
  <c r="BR24" i="7" s="1"/>
  <c r="F121" i="7"/>
  <c r="F122" i="7"/>
  <c r="F106" i="7"/>
  <c r="R122" i="7"/>
  <c r="R106" i="7"/>
  <c r="R121" i="7"/>
  <c r="R108" i="7" s="1"/>
  <c r="R29" i="7"/>
  <c r="Z105" i="7"/>
  <c r="Z121" i="7"/>
  <c r="Z106" i="7"/>
  <c r="Z122" i="7"/>
  <c r="AT122" i="7"/>
  <c r="AT121" i="7"/>
  <c r="AT105" i="7"/>
  <c r="AT106" i="7"/>
  <c r="BB121" i="7"/>
  <c r="BB122" i="7"/>
  <c r="BB105" i="7"/>
  <c r="BB106" i="7"/>
  <c r="BJ121" i="7"/>
  <c r="BJ108" i="7" s="1"/>
  <c r="BJ122" i="7"/>
  <c r="BJ106" i="7"/>
  <c r="BV121" i="7"/>
  <c r="BV105" i="7"/>
  <c r="BV106" i="7"/>
  <c r="BV122" i="7"/>
  <c r="I29" i="7"/>
  <c r="AD29" i="7"/>
  <c r="AL29" i="7"/>
  <c r="BI29" i="7"/>
  <c r="O120" i="7"/>
  <c r="Q120" i="7"/>
  <c r="Q85" i="7" s="1"/>
  <c r="Z120" i="7"/>
  <c r="Z104" i="7"/>
  <c r="Z29" i="7"/>
  <c r="AL120" i="7"/>
  <c r="AL104" i="7"/>
  <c r="AL37" i="7"/>
  <c r="AT120" i="7"/>
  <c r="AT104" i="7"/>
  <c r="AT37" i="7"/>
  <c r="BI120" i="7"/>
  <c r="BI85" i="7" s="1"/>
  <c r="BG120" i="7"/>
  <c r="BQ120" i="7"/>
  <c r="BQ85" i="7" s="1"/>
  <c r="BR120" i="7"/>
  <c r="BR85" i="7" s="1"/>
  <c r="BR97" i="7"/>
  <c r="BR37" i="7"/>
  <c r="CA120" i="7"/>
  <c r="CC120" i="7"/>
  <c r="CC85" i="7" s="1"/>
  <c r="V125" i="7"/>
  <c r="V87" i="7" s="1"/>
  <c r="V126" i="7"/>
  <c r="AH126" i="7"/>
  <c r="AH125" i="7"/>
  <c r="AH87" i="7" s="1"/>
  <c r="AT125" i="7"/>
  <c r="AT87" i="7" s="1"/>
  <c r="AT126" i="7"/>
  <c r="BR125" i="7"/>
  <c r="BR87" i="7" s="1"/>
  <c r="BR126" i="7"/>
  <c r="F35" i="7"/>
  <c r="AC96" i="7"/>
  <c r="AC124" i="7"/>
  <c r="AC123" i="7"/>
  <c r="AA123" i="7"/>
  <c r="BA124" i="7"/>
  <c r="AY123" i="7"/>
  <c r="BA123" i="7"/>
  <c r="BA84" i="7" s="1"/>
  <c r="BA96" i="7"/>
  <c r="E96" i="7"/>
  <c r="E94" i="7"/>
  <c r="E35" i="7"/>
  <c r="N96" i="7"/>
  <c r="N94" i="7"/>
  <c r="AO96" i="7"/>
  <c r="AO94" i="7"/>
  <c r="AX96" i="7"/>
  <c r="AX94" i="7"/>
  <c r="BF96" i="7"/>
  <c r="BF94" i="7"/>
  <c r="BQ96" i="7"/>
  <c r="BQ94" i="7"/>
  <c r="BQ35" i="7"/>
  <c r="V104" i="7"/>
  <c r="BN104" i="7"/>
  <c r="BM49" i="7"/>
  <c r="AC51" i="7"/>
  <c r="AC50" i="7" s="1"/>
  <c r="Q86" i="7"/>
  <c r="CC87" i="7"/>
  <c r="BI108" i="7"/>
  <c r="AW121" i="7"/>
  <c r="BM121" i="7"/>
  <c r="BM108" i="7" s="1"/>
  <c r="E126" i="7"/>
  <c r="AC126" i="7"/>
  <c r="AA125" i="7"/>
  <c r="AA87" i="7" s="1"/>
  <c r="AK126" i="7"/>
  <c r="AI125" i="7"/>
  <c r="AI87" i="7" s="1"/>
  <c r="BA126" i="7"/>
  <c r="AY125" i="7"/>
  <c r="AY87" i="7" s="1"/>
  <c r="BU125" i="7"/>
  <c r="BU87" i="7" s="1"/>
  <c r="BU126" i="7"/>
  <c r="BS125" i="7"/>
  <c r="BS87" i="7" s="1"/>
  <c r="R37" i="7"/>
  <c r="BJ37" i="7"/>
  <c r="BE129" i="7"/>
  <c r="BE127" i="7"/>
  <c r="M128" i="7"/>
  <c r="M130" i="7"/>
  <c r="K130" i="7"/>
  <c r="U130" i="7"/>
  <c r="S130" i="7"/>
  <c r="U128" i="7"/>
  <c r="AE130" i="7"/>
  <c r="AG128" i="7"/>
  <c r="AG130" i="7"/>
  <c r="AP130" i="7"/>
  <c r="AP128" i="7"/>
  <c r="BB128" i="7"/>
  <c r="BB130" i="7"/>
  <c r="BN128" i="7"/>
  <c r="BN130" i="7"/>
  <c r="BV130" i="7"/>
  <c r="BV128" i="7"/>
  <c r="BN51" i="7"/>
  <c r="BN50" i="7" s="1"/>
  <c r="BQ88" i="7"/>
  <c r="BN91" i="7"/>
  <c r="BZ94" i="7"/>
  <c r="I95" i="7"/>
  <c r="BE95" i="7"/>
  <c r="I97" i="7"/>
  <c r="AO97" i="7"/>
  <c r="BE97" i="7"/>
  <c r="U100" i="7"/>
  <c r="AK100" i="7"/>
  <c r="AW101" i="7"/>
  <c r="M105" i="7"/>
  <c r="BN105" i="7"/>
  <c r="I106" i="7"/>
  <c r="BE106" i="7"/>
  <c r="AI121" i="7"/>
  <c r="BE121" i="7"/>
  <c r="BK121" i="7"/>
  <c r="I122" i="7"/>
  <c r="U122" i="7"/>
  <c r="AK122" i="7"/>
  <c r="AW122" i="7"/>
  <c r="Q123" i="7"/>
  <c r="E125" i="7"/>
  <c r="E87" i="7" s="1"/>
  <c r="R114" i="8"/>
  <c r="R83" i="8"/>
  <c r="R84" i="8"/>
  <c r="Z114" i="8"/>
  <c r="AX114" i="8"/>
  <c r="AX84" i="8"/>
  <c r="DK114" i="8"/>
  <c r="DK83" i="8"/>
  <c r="DK84" i="8"/>
  <c r="I90" i="8"/>
  <c r="I91" i="8"/>
  <c r="R90" i="8"/>
  <c r="R91" i="8"/>
  <c r="BN90" i="8"/>
  <c r="BN91" i="8"/>
  <c r="DV90" i="8"/>
  <c r="DV91" i="8"/>
  <c r="BR88" i="7"/>
  <c r="AC97" i="7"/>
  <c r="I100" i="7"/>
  <c r="BE100" i="7"/>
  <c r="I105" i="7"/>
  <c r="BE105" i="7"/>
  <c r="U106" i="7"/>
  <c r="BY109" i="7"/>
  <c r="BS120" i="7"/>
  <c r="G121" i="7"/>
  <c r="S121" i="7"/>
  <c r="AK121" i="7"/>
  <c r="AK107" i="7" s="1"/>
  <c r="BE122" i="7"/>
  <c r="CC122" i="7"/>
  <c r="R123" i="7"/>
  <c r="BA125" i="7"/>
  <c r="BA87" i="7" s="1"/>
  <c r="N13" i="8"/>
  <c r="N90" i="8" s="1"/>
  <c r="DF113" i="8"/>
  <c r="DF101" i="8"/>
  <c r="DF13" i="8"/>
  <c r="I114" i="8"/>
  <c r="I84" i="8"/>
  <c r="BN114" i="8"/>
  <c r="BN84" i="8"/>
  <c r="BV114" i="8"/>
  <c r="CY21" i="8"/>
  <c r="CY24" i="8" s="1"/>
  <c r="AH96" i="8"/>
  <c r="AH94" i="8"/>
  <c r="AH35" i="8"/>
  <c r="AW97" i="7"/>
  <c r="BM97" i="7"/>
  <c r="I101" i="7"/>
  <c r="BR101" i="7"/>
  <c r="U105" i="7"/>
  <c r="AW106" i="7"/>
  <c r="BM106" i="7"/>
  <c r="CC106" i="7"/>
  <c r="CC107" i="7"/>
  <c r="AA120" i="7"/>
  <c r="AM120" i="7"/>
  <c r="U121" i="7"/>
  <c r="U86" i="7" s="1"/>
  <c r="BM122" i="7"/>
  <c r="AU123" i="7"/>
  <c r="BN123" i="7"/>
  <c r="AQ112" i="8"/>
  <c r="AQ109" i="8"/>
  <c r="CT112" i="8"/>
  <c r="CY91" i="8"/>
  <c r="CY90" i="8"/>
  <c r="V114" i="8"/>
  <c r="V84" i="8"/>
  <c r="BB114" i="8"/>
  <c r="BB84" i="8"/>
  <c r="BB83" i="8"/>
  <c r="BJ114" i="8"/>
  <c r="BJ84" i="8"/>
  <c r="CL114" i="8"/>
  <c r="CL84" i="8"/>
  <c r="AT94" i="8"/>
  <c r="AT35" i="8"/>
  <c r="BK94" i="8"/>
  <c r="BK96" i="8"/>
  <c r="BK35" i="8"/>
  <c r="DU51" i="8"/>
  <c r="CC97" i="7"/>
  <c r="AW100" i="7"/>
  <c r="BM100" i="7"/>
  <c r="AC101" i="7"/>
  <c r="AW120" i="7"/>
  <c r="AW85" i="7" s="1"/>
  <c r="AU121" i="7"/>
  <c r="CA121" i="7"/>
  <c r="AW123" i="7"/>
  <c r="C125" i="7"/>
  <c r="C87" i="7" s="1"/>
  <c r="AC125" i="7"/>
  <c r="AC87" i="7" s="1"/>
  <c r="AK125" i="7"/>
  <c r="AK87" i="7" s="1"/>
  <c r="E112" i="8"/>
  <c r="E109" i="8"/>
  <c r="E21" i="8"/>
  <c r="E24" i="8" s="1"/>
  <c r="CD113" i="8"/>
  <c r="CD101" i="8"/>
  <c r="CD13" i="8"/>
  <c r="CP112" i="8"/>
  <c r="CP109" i="8"/>
  <c r="Q114" i="8"/>
  <c r="Q83" i="8"/>
  <c r="Q84" i="8"/>
  <c r="DJ114" i="8"/>
  <c r="DJ84" i="8"/>
  <c r="DQ114" i="8"/>
  <c r="DQ84" i="8"/>
  <c r="AI88" i="8"/>
  <c r="DU90" i="8"/>
  <c r="DM114" i="8"/>
  <c r="DM84" i="8"/>
  <c r="Z94" i="8"/>
  <c r="Z35" i="8"/>
  <c r="BN96" i="8"/>
  <c r="BN94" i="8"/>
  <c r="BN35" i="8"/>
  <c r="CM96" i="8"/>
  <c r="CM94" i="8"/>
  <c r="CM35" i="8"/>
  <c r="CY96" i="8"/>
  <c r="CY94" i="8"/>
  <c r="CY35" i="8"/>
  <c r="M9" i="8"/>
  <c r="S112" i="8"/>
  <c r="S109" i="8"/>
  <c r="AA9" i="8"/>
  <c r="AA91" i="8" s="1"/>
  <c r="AU9" i="8"/>
  <c r="AU88" i="8" s="1"/>
  <c r="BJ112" i="8"/>
  <c r="BJ109" i="8"/>
  <c r="BJ88" i="8"/>
  <c r="BZ109" i="8"/>
  <c r="BZ112" i="8"/>
  <c r="CL109" i="8"/>
  <c r="CL112" i="8"/>
  <c r="DF9" i="8"/>
  <c r="DF88" i="8" s="1"/>
  <c r="DM112" i="8"/>
  <c r="DM109" i="8"/>
  <c r="DM90" i="8"/>
  <c r="DM91" i="8"/>
  <c r="DM88" i="8"/>
  <c r="Q113" i="8"/>
  <c r="Q101" i="8"/>
  <c r="Q88" i="8"/>
  <c r="W88" i="8"/>
  <c r="AH14" i="8"/>
  <c r="AT113" i="8"/>
  <c r="AT101" i="8"/>
  <c r="BB113" i="8"/>
  <c r="BB101" i="8"/>
  <c r="BB88" i="8"/>
  <c r="BS88" i="8"/>
  <c r="CL113" i="8"/>
  <c r="CL101" i="8"/>
  <c r="CL88" i="8"/>
  <c r="CU14" i="8"/>
  <c r="DG14" i="8"/>
  <c r="DV88" i="8"/>
  <c r="AT115" i="8"/>
  <c r="CD115" i="8"/>
  <c r="DV109" i="8"/>
  <c r="Q90" i="8"/>
  <c r="Q91" i="8"/>
  <c r="W90" i="8"/>
  <c r="W91" i="8"/>
  <c r="BV90" i="8"/>
  <c r="BV91" i="8"/>
  <c r="DJ91" i="8"/>
  <c r="DJ90" i="8"/>
  <c r="AI19" i="8"/>
  <c r="AI21" i="8" s="1"/>
  <c r="AI24" i="8" s="1"/>
  <c r="AU19" i="8"/>
  <c r="AU18" i="8" s="1"/>
  <c r="CP19" i="8"/>
  <c r="CP18" i="8" s="1"/>
  <c r="BS21" i="8"/>
  <c r="BS24" i="8" s="1"/>
  <c r="DV21" i="8"/>
  <c r="DV24" i="8" s="1"/>
  <c r="N121" i="8"/>
  <c r="N108" i="8" s="1"/>
  <c r="N122" i="8"/>
  <c r="N106" i="8"/>
  <c r="AL121" i="8"/>
  <c r="AL122" i="8"/>
  <c r="AJ121" i="8"/>
  <c r="AL105" i="8"/>
  <c r="AL106" i="8"/>
  <c r="AL100" i="8"/>
  <c r="AL97" i="8"/>
  <c r="AL95" i="8"/>
  <c r="AT121" i="8"/>
  <c r="AT122" i="8"/>
  <c r="AR121" i="8"/>
  <c r="AT106" i="8"/>
  <c r="AT95" i="8"/>
  <c r="AT97" i="8"/>
  <c r="BO121" i="8"/>
  <c r="BO122" i="8"/>
  <c r="BO106" i="8"/>
  <c r="CL121" i="8"/>
  <c r="CL122" i="8"/>
  <c r="CJ121" i="8"/>
  <c r="CL105" i="8"/>
  <c r="CL106" i="8"/>
  <c r="CL97" i="8"/>
  <c r="CL95" i="8"/>
  <c r="CL100" i="8"/>
  <c r="CT122" i="8"/>
  <c r="CR121" i="8"/>
  <c r="CT121" i="8"/>
  <c r="CT86" i="8" s="1"/>
  <c r="CT106" i="8"/>
  <c r="CT95" i="8"/>
  <c r="CT97" i="8"/>
  <c r="DF121" i="8"/>
  <c r="DF86" i="8" s="1"/>
  <c r="DF122" i="8"/>
  <c r="DD121" i="8"/>
  <c r="DF106" i="8"/>
  <c r="DF97" i="8"/>
  <c r="DF95" i="8"/>
  <c r="DF100" i="8"/>
  <c r="DN122" i="8"/>
  <c r="DN121" i="8"/>
  <c r="DN105" i="8"/>
  <c r="DN106" i="8"/>
  <c r="CT29" i="8"/>
  <c r="DF29" i="8"/>
  <c r="M120" i="8"/>
  <c r="K120" i="8"/>
  <c r="M104" i="8"/>
  <c r="AB120" i="8"/>
  <c r="AD120" i="8"/>
  <c r="AD85" i="8" s="1"/>
  <c r="AP120" i="8"/>
  <c r="AN120" i="8"/>
  <c r="AX120" i="8"/>
  <c r="AX85" i="8" s="1"/>
  <c r="AV120" i="8"/>
  <c r="AX104" i="8"/>
  <c r="AX97" i="8"/>
  <c r="BP120" i="8"/>
  <c r="BR120" i="8"/>
  <c r="BR85" i="8" s="1"/>
  <c r="BR104" i="8"/>
  <c r="BR97" i="8"/>
  <c r="BR37" i="8"/>
  <c r="CD120" i="8"/>
  <c r="CB120" i="8"/>
  <c r="CN120" i="8"/>
  <c r="CP120" i="8"/>
  <c r="DF120" i="8"/>
  <c r="DD120" i="8"/>
  <c r="DF37" i="8"/>
  <c r="DR120" i="8"/>
  <c r="DR104" i="8"/>
  <c r="N126" i="8"/>
  <c r="N125" i="8"/>
  <c r="N87" i="8" s="1"/>
  <c r="AB125" i="8"/>
  <c r="AB87" i="8" s="1"/>
  <c r="AD126" i="8"/>
  <c r="AD125" i="8"/>
  <c r="AD87" i="8" s="1"/>
  <c r="AP126" i="8"/>
  <c r="AP125" i="8"/>
  <c r="AP87" i="8" s="1"/>
  <c r="AN125" i="8"/>
  <c r="AN87" i="8" s="1"/>
  <c r="BH125" i="8"/>
  <c r="BH87" i="8" s="1"/>
  <c r="BJ126" i="8"/>
  <c r="BJ125" i="8"/>
  <c r="BJ87" i="8" s="1"/>
  <c r="CT126" i="8"/>
  <c r="CT125" i="8"/>
  <c r="CT87" i="8" s="1"/>
  <c r="CR125" i="8"/>
  <c r="CR87" i="8" s="1"/>
  <c r="DJ126" i="8"/>
  <c r="DJ125" i="8"/>
  <c r="DJ87" i="8" s="1"/>
  <c r="DH125" i="8"/>
  <c r="DH87" i="8" s="1"/>
  <c r="DJ57" i="8"/>
  <c r="DJ100" i="8" s="1"/>
  <c r="DU125" i="8"/>
  <c r="DU87" i="8" s="1"/>
  <c r="DS125" i="8"/>
  <c r="DS87" i="8" s="1"/>
  <c r="DU126" i="8"/>
  <c r="AL125" i="8"/>
  <c r="AL87" i="8" s="1"/>
  <c r="AJ125" i="8"/>
  <c r="AJ87" i="8" s="1"/>
  <c r="AL126" i="8"/>
  <c r="BZ125" i="8"/>
  <c r="BZ87" i="8" s="1"/>
  <c r="BX125" i="8"/>
  <c r="BX87" i="8" s="1"/>
  <c r="BZ126" i="8"/>
  <c r="M35" i="8"/>
  <c r="CT35" i="8"/>
  <c r="J96" i="8"/>
  <c r="J94" i="8"/>
  <c r="R96" i="8"/>
  <c r="R94" i="8"/>
  <c r="AQ37" i="8"/>
  <c r="BB94" i="8"/>
  <c r="BB96" i="8"/>
  <c r="BB35" i="8"/>
  <c r="BS96" i="8"/>
  <c r="BS94" i="8"/>
  <c r="CD37" i="8"/>
  <c r="CD96" i="8" s="1"/>
  <c r="CQ37" i="8"/>
  <c r="DN96" i="8"/>
  <c r="DN94" i="8"/>
  <c r="AP104" i="8"/>
  <c r="BN104" i="8"/>
  <c r="N130" i="8"/>
  <c r="N128" i="8"/>
  <c r="N105" i="8"/>
  <c r="T130" i="8"/>
  <c r="V130" i="8"/>
  <c r="V128" i="8"/>
  <c r="V105" i="8"/>
  <c r="AD130" i="8"/>
  <c r="AD128" i="8"/>
  <c r="AB130" i="8"/>
  <c r="AD105" i="8"/>
  <c r="AT130" i="8"/>
  <c r="AR130" i="8"/>
  <c r="AT128" i="8"/>
  <c r="AT105" i="8"/>
  <c r="BR130" i="8"/>
  <c r="BP130" i="8"/>
  <c r="BR128" i="8"/>
  <c r="BR105" i="8"/>
  <c r="CP130" i="8"/>
  <c r="CN130" i="8"/>
  <c r="CP128" i="8"/>
  <c r="CP105" i="8"/>
  <c r="DF130" i="8"/>
  <c r="DD130" i="8"/>
  <c r="DF128" i="8"/>
  <c r="DF105" i="8"/>
  <c r="BR51" i="8"/>
  <c r="CT100" i="8"/>
  <c r="DQ100" i="8"/>
  <c r="N9" i="8"/>
  <c r="N88" i="8" s="1"/>
  <c r="V112" i="8"/>
  <c r="V109" i="8"/>
  <c r="AD9" i="8"/>
  <c r="AP9" i="8"/>
  <c r="AX109" i="8"/>
  <c r="AX112" i="8"/>
  <c r="BK112" i="8"/>
  <c r="BK109" i="8"/>
  <c r="BK88" i="8"/>
  <c r="CA109" i="8"/>
  <c r="CA112" i="8"/>
  <c r="CA88" i="8"/>
  <c r="CM112" i="8"/>
  <c r="CM109" i="8"/>
  <c r="CM88" i="8"/>
  <c r="CU9" i="8"/>
  <c r="CU109" i="8" s="1"/>
  <c r="DG109" i="8"/>
  <c r="DG112" i="8"/>
  <c r="DN112" i="8"/>
  <c r="DN109" i="8"/>
  <c r="DN91" i="8"/>
  <c r="DN88" i="8"/>
  <c r="DN90" i="8"/>
  <c r="AE13" i="8"/>
  <c r="AE91" i="8" s="1"/>
  <c r="AY13" i="8"/>
  <c r="AY90" i="8" s="1"/>
  <c r="E113" i="8"/>
  <c r="E88" i="8"/>
  <c r="E101" i="8"/>
  <c r="R113" i="8"/>
  <c r="R101" i="8"/>
  <c r="R88" i="8"/>
  <c r="Z113" i="8"/>
  <c r="Z101" i="8"/>
  <c r="Z88" i="8"/>
  <c r="BN113" i="8"/>
  <c r="BN101" i="8"/>
  <c r="BN88" i="8"/>
  <c r="BZ113" i="8"/>
  <c r="BZ88" i="8"/>
  <c r="BZ101" i="8"/>
  <c r="CP113" i="8"/>
  <c r="CP101" i="8"/>
  <c r="CP88" i="8"/>
  <c r="CX113" i="8"/>
  <c r="CX101" i="8"/>
  <c r="DQ113" i="8"/>
  <c r="DQ88" i="8"/>
  <c r="AE109" i="8"/>
  <c r="CT115" i="8"/>
  <c r="CT107" i="8" s="1"/>
  <c r="CT109" i="8"/>
  <c r="J91" i="8"/>
  <c r="J90" i="8"/>
  <c r="AH90" i="8"/>
  <c r="BB90" i="8"/>
  <c r="BB91" i="8"/>
  <c r="BO90" i="8"/>
  <c r="BO91" i="8"/>
  <c r="DK90" i="8"/>
  <c r="DK91" i="8"/>
  <c r="AP19" i="8"/>
  <c r="AP18" i="8" s="1"/>
  <c r="CE19" i="8"/>
  <c r="CE18" i="8" s="1"/>
  <c r="AE21" i="8"/>
  <c r="AE24" i="8" s="1"/>
  <c r="AD121" i="8"/>
  <c r="AD86" i="8" s="1"/>
  <c r="AD122" i="8"/>
  <c r="AB121" i="8"/>
  <c r="AD106" i="8"/>
  <c r="AD100" i="8"/>
  <c r="AD95" i="8"/>
  <c r="AD97" i="8"/>
  <c r="AM121" i="8"/>
  <c r="AM122" i="8"/>
  <c r="AM105" i="8"/>
  <c r="AM106" i="8"/>
  <c r="BJ121" i="8"/>
  <c r="BJ122" i="8"/>
  <c r="BH121" i="8"/>
  <c r="BJ106" i="8"/>
  <c r="BJ105" i="8"/>
  <c r="BJ100" i="8"/>
  <c r="BJ95" i="8"/>
  <c r="BJ97" i="8"/>
  <c r="BZ121" i="8"/>
  <c r="BZ122" i="8"/>
  <c r="BX121" i="8"/>
  <c r="BZ105" i="8"/>
  <c r="BZ106" i="8"/>
  <c r="BZ100" i="8"/>
  <c r="BZ95" i="8"/>
  <c r="BZ97" i="8"/>
  <c r="CM121" i="8"/>
  <c r="CM122" i="8"/>
  <c r="CM106" i="8"/>
  <c r="CM105" i="8"/>
  <c r="CU121" i="8"/>
  <c r="CU108" i="8" s="1"/>
  <c r="CU122" i="8"/>
  <c r="CU106" i="8"/>
  <c r="DJ122" i="8"/>
  <c r="DH121" i="8"/>
  <c r="DJ121" i="8"/>
  <c r="DJ105" i="8"/>
  <c r="DJ106" i="8"/>
  <c r="DJ95" i="8"/>
  <c r="DJ97" i="8"/>
  <c r="DQ121" i="8"/>
  <c r="DQ122" i="8"/>
  <c r="DO121" i="8"/>
  <c r="DQ105" i="8"/>
  <c r="DQ106" i="8"/>
  <c r="DQ95" i="8"/>
  <c r="DQ97" i="8"/>
  <c r="CM29" i="8"/>
  <c r="CU29" i="8"/>
  <c r="N120" i="8"/>
  <c r="N104" i="8"/>
  <c r="AH120" i="8"/>
  <c r="AH85" i="8" s="1"/>
  <c r="AF120" i="8"/>
  <c r="AH104" i="8"/>
  <c r="BH120" i="8"/>
  <c r="BJ120" i="8"/>
  <c r="BJ85" i="8" s="1"/>
  <c r="BJ104" i="8"/>
  <c r="BJ37" i="8"/>
  <c r="BS120" i="8"/>
  <c r="BV120" i="8"/>
  <c r="BV85" i="8" s="1"/>
  <c r="BV97" i="8"/>
  <c r="DJ120" i="8"/>
  <c r="DJ85" i="8" s="1"/>
  <c r="DH120" i="8"/>
  <c r="DJ104" i="8"/>
  <c r="DU120" i="8"/>
  <c r="DU85" i="8" s="1"/>
  <c r="DS120" i="8"/>
  <c r="DU97" i="8"/>
  <c r="DU37" i="8"/>
  <c r="Q125" i="8"/>
  <c r="Q87" i="8" s="1"/>
  <c r="O125" i="8"/>
  <c r="O87" i="8" s="1"/>
  <c r="Q126" i="8"/>
  <c r="AE126" i="8"/>
  <c r="AE125" i="8"/>
  <c r="AE87" i="8" s="1"/>
  <c r="AQ125" i="8"/>
  <c r="AQ87" i="8" s="1"/>
  <c r="AQ126" i="8"/>
  <c r="BN125" i="8"/>
  <c r="BN87" i="8" s="1"/>
  <c r="BL125" i="8"/>
  <c r="BL87" i="8" s="1"/>
  <c r="BN126" i="8"/>
  <c r="CU125" i="8"/>
  <c r="CU87" i="8" s="1"/>
  <c r="CU126" i="8"/>
  <c r="DK125" i="8"/>
  <c r="DK87" i="8" s="1"/>
  <c r="DK126" i="8"/>
  <c r="AX125" i="8"/>
  <c r="AX87" i="8" s="1"/>
  <c r="AV125" i="8"/>
  <c r="AV87" i="8" s="1"/>
  <c r="AX126" i="8"/>
  <c r="CA125" i="8"/>
  <c r="CA87" i="8" s="1"/>
  <c r="CA126" i="8"/>
  <c r="Q35" i="8"/>
  <c r="CU35" i="8"/>
  <c r="AB123" i="8"/>
  <c r="AD124" i="8"/>
  <c r="AD123" i="8"/>
  <c r="AD96" i="8"/>
  <c r="AR123" i="8"/>
  <c r="AT124" i="8"/>
  <c r="AT123" i="8"/>
  <c r="AT96" i="8"/>
  <c r="CD124" i="8"/>
  <c r="CD123" i="8"/>
  <c r="CB123" i="8"/>
  <c r="S96" i="8"/>
  <c r="S94" i="8"/>
  <c r="AA94" i="8"/>
  <c r="AA96" i="8"/>
  <c r="AI96" i="8"/>
  <c r="AI94" i="8"/>
  <c r="BV37" i="8"/>
  <c r="CE37" i="8"/>
  <c r="DG96" i="8"/>
  <c r="DG94" i="8"/>
  <c r="DQ37" i="8"/>
  <c r="AQ104" i="8"/>
  <c r="DQ101" i="8"/>
  <c r="AP85" i="8"/>
  <c r="CT85" i="8"/>
  <c r="I112" i="8"/>
  <c r="I109" i="8"/>
  <c r="I88" i="8"/>
  <c r="Q112" i="8"/>
  <c r="Q109" i="8"/>
  <c r="W109" i="8"/>
  <c r="W112" i="8"/>
  <c r="AY112" i="8"/>
  <c r="AY109" i="8"/>
  <c r="BN109" i="8"/>
  <c r="BN112" i="8"/>
  <c r="BV112" i="8"/>
  <c r="BV109" i="8"/>
  <c r="BV88" i="8"/>
  <c r="CD9" i="8"/>
  <c r="CD88" i="8" s="1"/>
  <c r="CX9" i="8"/>
  <c r="CX91" i="8" s="1"/>
  <c r="DJ112" i="8"/>
  <c r="DJ109" i="8"/>
  <c r="DJ88" i="8"/>
  <c r="DQ109" i="8"/>
  <c r="DQ112" i="8"/>
  <c r="Z13" i="8"/>
  <c r="Z90" i="8" s="1"/>
  <c r="M113" i="8"/>
  <c r="M101" i="8"/>
  <c r="M88" i="8"/>
  <c r="AD14" i="8"/>
  <c r="AP14" i="8"/>
  <c r="AX113" i="8"/>
  <c r="AX101" i="8"/>
  <c r="AX88" i="8"/>
  <c r="BO88" i="8"/>
  <c r="CQ14" i="8"/>
  <c r="CY88" i="8"/>
  <c r="DR88" i="8"/>
  <c r="AH115" i="8"/>
  <c r="AH109" i="8"/>
  <c r="BR115" i="8"/>
  <c r="BR107" i="8" s="1"/>
  <c r="BR109" i="8"/>
  <c r="S90" i="8"/>
  <c r="S91" i="8"/>
  <c r="AA90" i="8"/>
  <c r="AI90" i="8"/>
  <c r="AI91" i="8"/>
  <c r="BJ18" i="8"/>
  <c r="BR18" i="8"/>
  <c r="BZ90" i="8"/>
  <c r="BZ91" i="8"/>
  <c r="CL90" i="8"/>
  <c r="CL91" i="8"/>
  <c r="CT18" i="8"/>
  <c r="DQ90" i="8"/>
  <c r="DQ91" i="8"/>
  <c r="AQ19" i="8"/>
  <c r="AQ18" i="8" s="1"/>
  <c r="DF19" i="8"/>
  <c r="DF18" i="8" s="1"/>
  <c r="AH21" i="8"/>
  <c r="AH24" i="8" s="1"/>
  <c r="E122" i="8"/>
  <c r="E121" i="8"/>
  <c r="E106" i="8"/>
  <c r="E97" i="8"/>
  <c r="E100" i="8"/>
  <c r="E95" i="8"/>
  <c r="AE122" i="8"/>
  <c r="AE121" i="8"/>
  <c r="AE108" i="8" s="1"/>
  <c r="AE106" i="8"/>
  <c r="AP122" i="8"/>
  <c r="AN121" i="8"/>
  <c r="AP121" i="8"/>
  <c r="AP86" i="8" s="1"/>
  <c r="AP105" i="8"/>
  <c r="AP106" i="8"/>
  <c r="AP97" i="8"/>
  <c r="AP95" i="8"/>
  <c r="AP100" i="8"/>
  <c r="BK122" i="8"/>
  <c r="BK121" i="8"/>
  <c r="BK105" i="8"/>
  <c r="BK106" i="8"/>
  <c r="CA121" i="8"/>
  <c r="CA122" i="8"/>
  <c r="CA105" i="8"/>
  <c r="CA106" i="8"/>
  <c r="CP121" i="8"/>
  <c r="CP122" i="8"/>
  <c r="CN121" i="8"/>
  <c r="CP106" i="8"/>
  <c r="CP97" i="8"/>
  <c r="CP95" i="8"/>
  <c r="CP100" i="8"/>
  <c r="CX121" i="8"/>
  <c r="CX86" i="8" s="1"/>
  <c r="CX122" i="8"/>
  <c r="CV121" i="8"/>
  <c r="CX106" i="8"/>
  <c r="CX105" i="8"/>
  <c r="CX97" i="8"/>
  <c r="CX95" i="8"/>
  <c r="CX100" i="8"/>
  <c r="DK121" i="8"/>
  <c r="DK122" i="8"/>
  <c r="DK105" i="8"/>
  <c r="DK106" i="8"/>
  <c r="DK97" i="8"/>
  <c r="DK95" i="8"/>
  <c r="DR121" i="8"/>
  <c r="DR122" i="8"/>
  <c r="DR106" i="8"/>
  <c r="DR105" i="8"/>
  <c r="AQ29" i="8"/>
  <c r="BN29" i="8"/>
  <c r="BV29" i="8"/>
  <c r="CP29" i="8"/>
  <c r="CX29" i="8"/>
  <c r="DJ29" i="8"/>
  <c r="E120" i="8"/>
  <c r="E104" i="8"/>
  <c r="T120" i="8"/>
  <c r="V120" i="8"/>
  <c r="V85" i="8" s="1"/>
  <c r="V104" i="8"/>
  <c r="V97" i="8"/>
  <c r="AJ120" i="8"/>
  <c r="AL120" i="8"/>
  <c r="AL104" i="8"/>
  <c r="AR120" i="8"/>
  <c r="AT120" i="8"/>
  <c r="AT85" i="8" s="1"/>
  <c r="BK120" i="8"/>
  <c r="BK104" i="8"/>
  <c r="CL120" i="8"/>
  <c r="CL85" i="8" s="1"/>
  <c r="CJ120" i="8"/>
  <c r="CL104" i="8"/>
  <c r="CL37" i="8"/>
  <c r="CV120" i="8"/>
  <c r="CX120" i="8"/>
  <c r="CX85" i="8" s="1"/>
  <c r="CX104" i="8"/>
  <c r="DL120" i="8"/>
  <c r="DM120" i="8"/>
  <c r="DM85" i="8" s="1"/>
  <c r="DM104" i="8"/>
  <c r="DM37" i="8"/>
  <c r="E126" i="8"/>
  <c r="E125" i="8"/>
  <c r="E87" i="8" s="1"/>
  <c r="V125" i="8"/>
  <c r="V87" i="8" s="1"/>
  <c r="T125" i="8"/>
  <c r="T87" i="8" s="1"/>
  <c r="V126" i="8"/>
  <c r="AH125" i="8"/>
  <c r="AH87" i="8" s="1"/>
  <c r="AF125" i="8"/>
  <c r="AF87" i="8" s="1"/>
  <c r="AH126" i="8"/>
  <c r="AA35" i="8"/>
  <c r="AX35" i="8"/>
  <c r="AE124" i="8"/>
  <c r="AE123" i="8"/>
  <c r="AE96" i="8"/>
  <c r="AU124" i="8"/>
  <c r="AU123" i="8"/>
  <c r="CP123" i="8"/>
  <c r="CN123" i="8"/>
  <c r="CP124" i="8"/>
  <c r="CP96" i="8"/>
  <c r="N37" i="8"/>
  <c r="V37" i="8"/>
  <c r="AD94" i="8"/>
  <c r="AD35" i="8"/>
  <c r="AL37" i="8"/>
  <c r="AL96" i="8" s="1"/>
  <c r="AX96" i="8"/>
  <c r="AX94" i="8"/>
  <c r="CU94" i="8"/>
  <c r="CU96" i="8"/>
  <c r="DJ37" i="8"/>
  <c r="DR94" i="8"/>
  <c r="DR96" i="8"/>
  <c r="DR35" i="8"/>
  <c r="CP42" i="8"/>
  <c r="CP104" i="8" s="1"/>
  <c r="E128" i="8"/>
  <c r="E130" i="8"/>
  <c r="E105" i="8"/>
  <c r="R130" i="8"/>
  <c r="R128" i="8"/>
  <c r="R105" i="8"/>
  <c r="X130" i="8"/>
  <c r="Z128" i="8"/>
  <c r="Z130" i="8"/>
  <c r="Z105" i="8"/>
  <c r="AH130" i="8"/>
  <c r="AF130" i="8"/>
  <c r="AH128" i="8"/>
  <c r="AH105" i="8"/>
  <c r="BN130" i="8"/>
  <c r="BN128" i="8"/>
  <c r="BL130" i="8"/>
  <c r="BN105" i="8"/>
  <c r="CB130" i="8"/>
  <c r="CD128" i="8"/>
  <c r="CD130" i="8"/>
  <c r="CD105" i="8"/>
  <c r="CR130" i="8"/>
  <c r="CT128" i="8"/>
  <c r="CT130" i="8"/>
  <c r="CT105" i="8"/>
  <c r="DU130" i="8"/>
  <c r="DS130" i="8"/>
  <c r="DU128" i="8"/>
  <c r="DU105" i="8"/>
  <c r="BR49" i="8"/>
  <c r="BR52" i="8" s="1"/>
  <c r="BN51" i="8"/>
  <c r="BN48" i="8" s="1"/>
  <c r="AH52" i="8"/>
  <c r="CT52" i="8"/>
  <c r="M85" i="8"/>
  <c r="DF85" i="8"/>
  <c r="E85" i="8"/>
  <c r="CD85" i="8"/>
  <c r="J112" i="8"/>
  <c r="J109" i="8"/>
  <c r="J88" i="8"/>
  <c r="R109" i="8"/>
  <c r="R112" i="8"/>
  <c r="Z112" i="8"/>
  <c r="Z109" i="8"/>
  <c r="AT9" i="8"/>
  <c r="AT88" i="8" s="1"/>
  <c r="BB109" i="8"/>
  <c r="BB112" i="8"/>
  <c r="BO112" i="8"/>
  <c r="BO109" i="8"/>
  <c r="CE112" i="8"/>
  <c r="CE109" i="8"/>
  <c r="CQ109" i="8"/>
  <c r="CQ112" i="8"/>
  <c r="CY112" i="8"/>
  <c r="CY109" i="8"/>
  <c r="DK109" i="8"/>
  <c r="DK112" i="8"/>
  <c r="DK88" i="8"/>
  <c r="DR112" i="8"/>
  <c r="DR109" i="8"/>
  <c r="V113" i="8"/>
  <c r="V88" i="8"/>
  <c r="V101" i="8"/>
  <c r="AQ88" i="8"/>
  <c r="BR113" i="8"/>
  <c r="BR101" i="8"/>
  <c r="BR88" i="8"/>
  <c r="CE88" i="8"/>
  <c r="CT14" i="8"/>
  <c r="CT21" i="8" s="1"/>
  <c r="CT24" i="8" s="1"/>
  <c r="DU113" i="8"/>
  <c r="DU88" i="8"/>
  <c r="BS109" i="8"/>
  <c r="DU115" i="8"/>
  <c r="DU107" i="8" s="1"/>
  <c r="DU109" i="8"/>
  <c r="E91" i="8"/>
  <c r="E90" i="8"/>
  <c r="N91" i="8"/>
  <c r="V90" i="8"/>
  <c r="V91" i="8"/>
  <c r="AX90" i="8"/>
  <c r="AX91" i="8"/>
  <c r="BK91" i="8"/>
  <c r="BK90" i="8"/>
  <c r="BS18" i="8"/>
  <c r="CA90" i="8"/>
  <c r="CA91" i="8"/>
  <c r="CM90" i="8"/>
  <c r="CM91" i="8"/>
  <c r="DR90" i="8"/>
  <c r="DR91" i="8"/>
  <c r="AT19" i="8"/>
  <c r="AT18" i="8" s="1"/>
  <c r="BR21" i="8"/>
  <c r="BR24" i="8" s="1"/>
  <c r="BZ21" i="8"/>
  <c r="BZ24" i="8" s="1"/>
  <c r="DU21" i="8"/>
  <c r="DU24" i="8" s="1"/>
  <c r="M121" i="8"/>
  <c r="M86" i="8" s="1"/>
  <c r="M122" i="8"/>
  <c r="K121" i="8"/>
  <c r="M106" i="8"/>
  <c r="M97" i="8"/>
  <c r="M95" i="8"/>
  <c r="M100" i="8"/>
  <c r="AH121" i="8"/>
  <c r="AH86" i="8" s="1"/>
  <c r="AH122" i="8"/>
  <c r="AF121" i="8"/>
  <c r="AH106" i="8"/>
  <c r="AH97" i="8"/>
  <c r="AH95" i="8"/>
  <c r="AH100" i="8"/>
  <c r="AQ121" i="8"/>
  <c r="AQ108" i="8" s="1"/>
  <c r="AQ122" i="8"/>
  <c r="AQ105" i="8"/>
  <c r="AQ106" i="8"/>
  <c r="BN121" i="8"/>
  <c r="BN122" i="8"/>
  <c r="BL121" i="8"/>
  <c r="BN106" i="8"/>
  <c r="BN97" i="8"/>
  <c r="BN95" i="8"/>
  <c r="BN100" i="8"/>
  <c r="CD122" i="8"/>
  <c r="CB121" i="8"/>
  <c r="CD121" i="8"/>
  <c r="CD108" i="8" s="1"/>
  <c r="CD106" i="8"/>
  <c r="CD97" i="8"/>
  <c r="CD100" i="8"/>
  <c r="CD95" i="8"/>
  <c r="CQ121" i="8"/>
  <c r="CQ108" i="8" s="1"/>
  <c r="CQ122" i="8"/>
  <c r="CQ106" i="8"/>
  <c r="CY122" i="8"/>
  <c r="CY121" i="8"/>
  <c r="CY105" i="8"/>
  <c r="CY106" i="8"/>
  <c r="DM121" i="8"/>
  <c r="DM122" i="8"/>
  <c r="DL121" i="8"/>
  <c r="DM106" i="8"/>
  <c r="DM105" i="8"/>
  <c r="DM100" i="8"/>
  <c r="DL95" i="8"/>
  <c r="DM97" i="8"/>
  <c r="DM95" i="8"/>
  <c r="AD29" i="8"/>
  <c r="CQ29" i="8"/>
  <c r="CY29" i="8"/>
  <c r="G120" i="8"/>
  <c r="I120" i="8"/>
  <c r="I85" i="8" s="1"/>
  <c r="I104" i="8"/>
  <c r="I97" i="8"/>
  <c r="I37" i="8"/>
  <c r="Z120" i="8"/>
  <c r="Z85" i="8" s="1"/>
  <c r="X120" i="8"/>
  <c r="Z97" i="8"/>
  <c r="Z104" i="8"/>
  <c r="AM120" i="8"/>
  <c r="AM104" i="8"/>
  <c r="AM37" i="8"/>
  <c r="AU120" i="8"/>
  <c r="AU37" i="8"/>
  <c r="BN120" i="8"/>
  <c r="BN85" i="8" s="1"/>
  <c r="BL120" i="8"/>
  <c r="BX120" i="8"/>
  <c r="BZ120" i="8"/>
  <c r="BZ85" i="8" s="1"/>
  <c r="BZ104" i="8"/>
  <c r="BZ37" i="8"/>
  <c r="CM120" i="8"/>
  <c r="CM104" i="8"/>
  <c r="CY120" i="8"/>
  <c r="CY104" i="8"/>
  <c r="DQ120" i="8"/>
  <c r="DQ85" i="8" s="1"/>
  <c r="DO120" i="8"/>
  <c r="DQ104" i="8"/>
  <c r="M125" i="8"/>
  <c r="M87" i="8" s="1"/>
  <c r="K125" i="8"/>
  <c r="K87" i="8" s="1"/>
  <c r="M126" i="8"/>
  <c r="W125" i="8"/>
  <c r="W87" i="8" s="1"/>
  <c r="W126" i="8"/>
  <c r="AI126" i="8"/>
  <c r="AI125" i="8"/>
  <c r="AI87" i="8" s="1"/>
  <c r="AU126" i="8"/>
  <c r="AU125" i="8"/>
  <c r="AU87" i="8" s="1"/>
  <c r="CD126" i="8"/>
  <c r="CD125" i="8"/>
  <c r="CD87" i="8" s="1"/>
  <c r="CB125" i="8"/>
  <c r="CB87" i="8" s="1"/>
  <c r="CY126" i="8"/>
  <c r="CY125" i="8"/>
  <c r="CY87" i="8" s="1"/>
  <c r="DN126" i="8"/>
  <c r="DN125" i="8"/>
  <c r="DN87" i="8" s="1"/>
  <c r="CP125" i="8"/>
  <c r="CP87" i="8" s="1"/>
  <c r="CN125" i="8"/>
  <c r="CN87" i="8" s="1"/>
  <c r="CP126" i="8"/>
  <c r="CP35" i="8"/>
  <c r="DN35" i="8"/>
  <c r="M123" i="8"/>
  <c r="K123" i="8"/>
  <c r="M124" i="8"/>
  <c r="M96" i="8"/>
  <c r="AL123" i="8"/>
  <c r="AL84" i="8" s="1"/>
  <c r="AJ123" i="8"/>
  <c r="AL124" i="8"/>
  <c r="BS123" i="8"/>
  <c r="BV124" i="8"/>
  <c r="BV123" i="8"/>
  <c r="BV84" i="8" s="1"/>
  <c r="BV96" i="8"/>
  <c r="E96" i="8"/>
  <c r="E94" i="8"/>
  <c r="E35" i="8"/>
  <c r="AY96" i="8"/>
  <c r="AY94" i="8"/>
  <c r="BO96" i="8"/>
  <c r="BO94" i="8"/>
  <c r="BO35" i="8"/>
  <c r="CA96" i="8"/>
  <c r="CA94" i="8"/>
  <c r="CX37" i="8"/>
  <c r="DK96" i="8"/>
  <c r="DK94" i="8"/>
  <c r="DK35" i="8"/>
  <c r="DV96" i="8"/>
  <c r="DV94" i="8"/>
  <c r="AU104" i="8"/>
  <c r="M130" i="8"/>
  <c r="K130" i="8"/>
  <c r="M128" i="8"/>
  <c r="M105" i="8"/>
  <c r="S130" i="8"/>
  <c r="S128" i="8"/>
  <c r="S105" i="8"/>
  <c r="AA130" i="8"/>
  <c r="AA128" i="8"/>
  <c r="AA105" i="8"/>
  <c r="AI130" i="8"/>
  <c r="AI128" i="8"/>
  <c r="AI105" i="8"/>
  <c r="BO130" i="8"/>
  <c r="BO128" i="8"/>
  <c r="BO105" i="8"/>
  <c r="CE130" i="8"/>
  <c r="CE128" i="8"/>
  <c r="CE105" i="8"/>
  <c r="CU130" i="8"/>
  <c r="CU128" i="8"/>
  <c r="CU105" i="8"/>
  <c r="DV128" i="8"/>
  <c r="DV130" i="8"/>
  <c r="DV105" i="8"/>
  <c r="BS49" i="8"/>
  <c r="BO51" i="8"/>
  <c r="BO48" i="8" s="1"/>
  <c r="DU101" i="8"/>
  <c r="DK57" i="8"/>
  <c r="DK100" i="8" s="1"/>
  <c r="CP85" i="8"/>
  <c r="E86" i="8"/>
  <c r="CD86" i="8"/>
  <c r="AR125" i="8"/>
  <c r="AR87" i="8" s="1"/>
  <c r="AT126" i="8"/>
  <c r="AT125" i="8"/>
  <c r="AT87" i="8" s="1"/>
  <c r="BO126" i="8"/>
  <c r="BO125" i="8"/>
  <c r="BO87" i="8" s="1"/>
  <c r="CV125" i="8"/>
  <c r="CV87" i="8" s="1"/>
  <c r="CX126" i="8"/>
  <c r="CX125" i="8"/>
  <c r="CX87" i="8" s="1"/>
  <c r="DL125" i="8"/>
  <c r="DL87" i="8" s="1"/>
  <c r="DM126" i="8"/>
  <c r="DM125" i="8"/>
  <c r="DM87" i="8" s="1"/>
  <c r="AY126" i="8"/>
  <c r="AY125" i="8"/>
  <c r="AY87" i="8" s="1"/>
  <c r="Z124" i="8"/>
  <c r="Z123" i="8"/>
  <c r="Z84" i="8" s="1"/>
  <c r="X123" i="8"/>
  <c r="AP124" i="8"/>
  <c r="AP123" i="8"/>
  <c r="AN123" i="8"/>
  <c r="BZ123" i="8"/>
  <c r="BX123" i="8"/>
  <c r="BZ124" i="8"/>
  <c r="AD104" i="8"/>
  <c r="AT104" i="8"/>
  <c r="BV104" i="8"/>
  <c r="DF104" i="8"/>
  <c r="Q130" i="8"/>
  <c r="O130" i="8"/>
  <c r="Q128" i="8"/>
  <c r="Q105" i="8"/>
  <c r="W130" i="8"/>
  <c r="W128" i="8"/>
  <c r="W105" i="8"/>
  <c r="AE128" i="8"/>
  <c r="AE130" i="8"/>
  <c r="AE105" i="8"/>
  <c r="AU130" i="8"/>
  <c r="AU128" i="8"/>
  <c r="AU105" i="8"/>
  <c r="BS128" i="8"/>
  <c r="BS130" i="8"/>
  <c r="BS105" i="8"/>
  <c r="CQ130" i="8"/>
  <c r="CQ128" i="8"/>
  <c r="CQ105" i="8"/>
  <c r="DG130" i="8"/>
  <c r="DG128" i="8"/>
  <c r="DG105" i="8"/>
  <c r="BS51" i="8"/>
  <c r="AT100" i="8"/>
  <c r="W94" i="8"/>
  <c r="AP96" i="8"/>
  <c r="CT94" i="8"/>
  <c r="Q96" i="8"/>
  <c r="Z96" i="8"/>
  <c r="BZ96" i="8"/>
  <c r="DJ108" i="8"/>
  <c r="E113" i="9"/>
  <c r="E88" i="9"/>
  <c r="I90" i="9"/>
  <c r="I91" i="9"/>
  <c r="Q90" i="9"/>
  <c r="Q91" i="9"/>
  <c r="X90" i="9"/>
  <c r="X91" i="9"/>
  <c r="AF91" i="9"/>
  <c r="AF90" i="9"/>
  <c r="AA94" i="9"/>
  <c r="AA35" i="9"/>
  <c r="J91" i="9"/>
  <c r="J90" i="9"/>
  <c r="R90" i="9"/>
  <c r="R91" i="9"/>
  <c r="AI90" i="9"/>
  <c r="AI91" i="9"/>
  <c r="AQ90" i="9"/>
  <c r="E112" i="9"/>
  <c r="E109" i="9"/>
  <c r="E21" i="9"/>
  <c r="E24" i="9" s="1"/>
  <c r="AQ35" i="9"/>
  <c r="AQ94" i="9"/>
  <c r="M109" i="9"/>
  <c r="M112" i="9"/>
  <c r="U112" i="9"/>
  <c r="U109" i="9"/>
  <c r="AB9" i="9"/>
  <c r="AB91" i="9" s="1"/>
  <c r="AM9" i="9"/>
  <c r="AA13" i="9"/>
  <c r="AA91" i="9" s="1"/>
  <c r="I101" i="9"/>
  <c r="I113" i="9"/>
  <c r="W113" i="9"/>
  <c r="W101" i="9"/>
  <c r="AQ115" i="9"/>
  <c r="AQ107" i="9" s="1"/>
  <c r="AQ109" i="9"/>
  <c r="AM19" i="9"/>
  <c r="AM18" i="9" s="1"/>
  <c r="M21" i="9"/>
  <c r="M24" i="9" s="1"/>
  <c r="U21" i="9"/>
  <c r="U24" i="9" s="1"/>
  <c r="I100" i="9"/>
  <c r="I97" i="9"/>
  <c r="I121" i="9"/>
  <c r="I95" i="9"/>
  <c r="I122" i="9"/>
  <c r="G121" i="9"/>
  <c r="I106" i="9"/>
  <c r="I105" i="9"/>
  <c r="Q121" i="9"/>
  <c r="Q95" i="9"/>
  <c r="Q122" i="9"/>
  <c r="O121" i="9"/>
  <c r="Q106" i="9"/>
  <c r="Q105" i="9"/>
  <c r="Q100" i="9"/>
  <c r="Q97" i="9"/>
  <c r="I29" i="9"/>
  <c r="Q29" i="9"/>
  <c r="AQ29" i="9"/>
  <c r="I120" i="9"/>
  <c r="I85" i="9" s="1"/>
  <c r="I104" i="9"/>
  <c r="G120" i="9"/>
  <c r="O120" i="9"/>
  <c r="Q120" i="9"/>
  <c r="Q85" i="9" s="1"/>
  <c r="AE120" i="9"/>
  <c r="AE85" i="9" s="1"/>
  <c r="AC120" i="9"/>
  <c r="AE97" i="9"/>
  <c r="AO125" i="9"/>
  <c r="AO87" i="9" s="1"/>
  <c r="AQ126" i="9"/>
  <c r="AQ125" i="9"/>
  <c r="AQ87" i="9" s="1"/>
  <c r="R126" i="9"/>
  <c r="R125" i="9"/>
  <c r="R87" i="9" s="1"/>
  <c r="R35" i="9"/>
  <c r="AR35" i="9"/>
  <c r="AB124" i="9"/>
  <c r="AB123" i="9"/>
  <c r="I37" i="9"/>
  <c r="Q37" i="9"/>
  <c r="X94" i="9"/>
  <c r="X96" i="9"/>
  <c r="Q104" i="9"/>
  <c r="AE104" i="9"/>
  <c r="Y130" i="9"/>
  <c r="AA128" i="9"/>
  <c r="AA105" i="9"/>
  <c r="AA130" i="9"/>
  <c r="AI130" i="9"/>
  <c r="AG130" i="9"/>
  <c r="AI128" i="9"/>
  <c r="AI105" i="9"/>
  <c r="AI51" i="9"/>
  <c r="AI50" i="9" s="1"/>
  <c r="AQ52" i="9"/>
  <c r="AA85" i="9"/>
  <c r="W88" i="9"/>
  <c r="AB88" i="9"/>
  <c r="U90" i="9"/>
  <c r="W91" i="9"/>
  <c r="R94" i="9"/>
  <c r="AF94" i="9"/>
  <c r="AM94" i="9"/>
  <c r="F9" i="9"/>
  <c r="F88" i="9" s="1"/>
  <c r="N109" i="9"/>
  <c r="N112" i="9"/>
  <c r="W109" i="9"/>
  <c r="W112" i="9"/>
  <c r="AE112" i="9"/>
  <c r="AE109" i="9"/>
  <c r="AN9" i="9"/>
  <c r="AR109" i="9"/>
  <c r="AN19" i="9"/>
  <c r="AN18" i="9" s="1"/>
  <c r="N21" i="9"/>
  <c r="N24" i="9" s="1"/>
  <c r="W21" i="9"/>
  <c r="W24" i="9" s="1"/>
  <c r="AE21" i="9"/>
  <c r="AE24" i="9" s="1"/>
  <c r="J121" i="9"/>
  <c r="J122" i="9"/>
  <c r="J106" i="9"/>
  <c r="J105" i="9"/>
  <c r="R122" i="9"/>
  <c r="R106" i="9"/>
  <c r="R105" i="9"/>
  <c r="R121" i="9"/>
  <c r="J29" i="9"/>
  <c r="R29" i="9"/>
  <c r="AA29" i="9"/>
  <c r="J120" i="9"/>
  <c r="J104" i="9"/>
  <c r="U120" i="9"/>
  <c r="U85" i="9" s="1"/>
  <c r="U104" i="9"/>
  <c r="S120" i="9"/>
  <c r="U97" i="9"/>
  <c r="AO120" i="9"/>
  <c r="AQ97" i="9"/>
  <c r="AQ120" i="9"/>
  <c r="AQ85" i="9" s="1"/>
  <c r="AR126" i="9"/>
  <c r="AR125" i="9"/>
  <c r="AR87" i="9" s="1"/>
  <c r="U35" i="9"/>
  <c r="AM35" i="9"/>
  <c r="E123" i="9"/>
  <c r="C123" i="9"/>
  <c r="E124" i="9"/>
  <c r="E96" i="9"/>
  <c r="AO123" i="9"/>
  <c r="AQ124" i="9"/>
  <c r="AQ96" i="9"/>
  <c r="AQ123" i="9"/>
  <c r="J37" i="9"/>
  <c r="AI94" i="9"/>
  <c r="AI96" i="9"/>
  <c r="AB128" i="9"/>
  <c r="AB105" i="9"/>
  <c r="AB130" i="9"/>
  <c r="AO130" i="9"/>
  <c r="AQ128" i="9"/>
  <c r="AQ105" i="9"/>
  <c r="AQ130" i="9"/>
  <c r="E101" i="9"/>
  <c r="E100" i="9"/>
  <c r="I88" i="9"/>
  <c r="AB90" i="9"/>
  <c r="I109" i="9"/>
  <c r="I112" i="9"/>
  <c r="Q112" i="9"/>
  <c r="Q109" i="9"/>
  <c r="X109" i="9"/>
  <c r="X112" i="9"/>
  <c r="AF112" i="9"/>
  <c r="AF88" i="9"/>
  <c r="AF109" i="9"/>
  <c r="M113" i="9"/>
  <c r="M101" i="9"/>
  <c r="AQ88" i="9"/>
  <c r="AQ113" i="9"/>
  <c r="AQ101" i="9"/>
  <c r="E91" i="9"/>
  <c r="I21" i="9"/>
  <c r="I24" i="9" s="1"/>
  <c r="Q21" i="9"/>
  <c r="Q24" i="9" s="1"/>
  <c r="X21" i="9"/>
  <c r="X24" i="9" s="1"/>
  <c r="AF21" i="9"/>
  <c r="AF24" i="9" s="1"/>
  <c r="AQ21" i="9"/>
  <c r="AQ24" i="9" s="1"/>
  <c r="E121" i="9"/>
  <c r="E97" i="9"/>
  <c r="E122" i="9"/>
  <c r="C121" i="9"/>
  <c r="E106" i="9"/>
  <c r="E95" i="9"/>
  <c r="M122" i="9"/>
  <c r="K121" i="9"/>
  <c r="M106" i="9"/>
  <c r="M105" i="9"/>
  <c r="M95" i="9"/>
  <c r="M121" i="9"/>
  <c r="M97" i="9"/>
  <c r="E29" i="9"/>
  <c r="M29" i="9"/>
  <c r="E120" i="9"/>
  <c r="E85" i="9" s="1"/>
  <c r="C120" i="9"/>
  <c r="M120" i="9"/>
  <c r="M85" i="9" s="1"/>
  <c r="M104" i="9"/>
  <c r="K120" i="9"/>
  <c r="Y120" i="9"/>
  <c r="AA97" i="9"/>
  <c r="AA120" i="9"/>
  <c r="I125" i="9"/>
  <c r="I87" i="9" s="1"/>
  <c r="G125" i="9"/>
  <c r="G87" i="9" s="1"/>
  <c r="I126" i="9"/>
  <c r="U123" i="9"/>
  <c r="S123" i="9"/>
  <c r="U124" i="9"/>
  <c r="U96" i="9"/>
  <c r="E37" i="9"/>
  <c r="M37" i="9"/>
  <c r="AB37" i="9"/>
  <c r="AB96" i="9" s="1"/>
  <c r="E104" i="9"/>
  <c r="AA104" i="9"/>
  <c r="E130" i="9"/>
  <c r="C130" i="9"/>
  <c r="E128" i="9"/>
  <c r="E105" i="9"/>
  <c r="AE130" i="9"/>
  <c r="AC130" i="9"/>
  <c r="AE128" i="9"/>
  <c r="AE105" i="9"/>
  <c r="AR128" i="9"/>
  <c r="AR105" i="9"/>
  <c r="AR130" i="9"/>
  <c r="E51" i="9"/>
  <c r="E50" i="9" s="1"/>
  <c r="AM87" i="9"/>
  <c r="AE88" i="9"/>
  <c r="E90" i="9"/>
  <c r="M91" i="9"/>
  <c r="J112" i="9"/>
  <c r="J109" i="9"/>
  <c r="R109" i="9"/>
  <c r="R112" i="9"/>
  <c r="AA112" i="9"/>
  <c r="AA109" i="9"/>
  <c r="AI109" i="9"/>
  <c r="AI112" i="9"/>
  <c r="AI101" i="9"/>
  <c r="AI113" i="9"/>
  <c r="N90" i="9"/>
  <c r="N91" i="9"/>
  <c r="AE91" i="9"/>
  <c r="J21" i="9"/>
  <c r="J24" i="9" s="1"/>
  <c r="R21" i="9"/>
  <c r="R24" i="9" s="1"/>
  <c r="AA21" i="9"/>
  <c r="AA24" i="9" s="1"/>
  <c r="AI21" i="9"/>
  <c r="AI24" i="9" s="1"/>
  <c r="AR21" i="9"/>
  <c r="AR24" i="9" s="1"/>
  <c r="F121" i="9"/>
  <c r="F108" i="9" s="1"/>
  <c r="F122" i="9"/>
  <c r="F106" i="9"/>
  <c r="N121" i="9"/>
  <c r="N122" i="9"/>
  <c r="N106" i="9"/>
  <c r="N105" i="9"/>
  <c r="F29" i="9"/>
  <c r="N29" i="9"/>
  <c r="N120" i="9"/>
  <c r="N104" i="9"/>
  <c r="J125" i="9"/>
  <c r="J87" i="9" s="1"/>
  <c r="J126" i="9"/>
  <c r="O125" i="9"/>
  <c r="O87" i="9" s="1"/>
  <c r="Q126" i="9"/>
  <c r="Q125" i="9"/>
  <c r="Q87" i="9" s="1"/>
  <c r="Y123" i="9"/>
  <c r="AA124" i="9"/>
  <c r="AA96" i="9"/>
  <c r="AA123" i="9"/>
  <c r="F37" i="9"/>
  <c r="N37" i="9"/>
  <c r="AE94" i="9"/>
  <c r="AE96" i="9"/>
  <c r="AN94" i="9"/>
  <c r="AN96" i="9"/>
  <c r="F104" i="9"/>
  <c r="AB104" i="9"/>
  <c r="F128" i="9"/>
  <c r="F105" i="9"/>
  <c r="F130" i="9"/>
  <c r="AF128" i="9"/>
  <c r="AF105" i="9"/>
  <c r="AF130" i="9"/>
  <c r="D48" i="9"/>
  <c r="D50" i="9" s="1"/>
  <c r="F51" i="9"/>
  <c r="AA101" i="9"/>
  <c r="M100" i="9"/>
  <c r="Q88" i="9"/>
  <c r="AA88" i="9"/>
  <c r="F90" i="9"/>
  <c r="AE90" i="9"/>
  <c r="W94" i="9"/>
  <c r="AR94" i="9"/>
  <c r="U107" i="7" l="1"/>
  <c r="F125" i="7"/>
  <c r="F87" i="7" s="1"/>
  <c r="R88" i="7"/>
  <c r="CT108" i="8"/>
  <c r="U108" i="7"/>
  <c r="AG90" i="7"/>
  <c r="BI107" i="7"/>
  <c r="AL21" i="6"/>
  <c r="AL24" i="6" s="1"/>
  <c r="M21" i="6"/>
  <c r="M24" i="6" s="1"/>
  <c r="BQ96" i="6"/>
  <c r="BQ35" i="6"/>
  <c r="CU94" i="6"/>
  <c r="CU35" i="6"/>
  <c r="AE88" i="8"/>
  <c r="CD21" i="7"/>
  <c r="CD24" i="7" s="1"/>
  <c r="BS50" i="8"/>
  <c r="AH108" i="8"/>
  <c r="AT107" i="8"/>
  <c r="AX83" i="8"/>
  <c r="CI114" i="6"/>
  <c r="CI83" i="6"/>
  <c r="CI84" i="6"/>
  <c r="BH114" i="6"/>
  <c r="BH83" i="6"/>
  <c r="BH84" i="6"/>
  <c r="AL114" i="6"/>
  <c r="AL83" i="6"/>
  <c r="AL84" i="6"/>
  <c r="CT114" i="8"/>
  <c r="CT84" i="8"/>
  <c r="CT83" i="8"/>
  <c r="P114" i="6"/>
  <c r="P83" i="6"/>
  <c r="AI114" i="9"/>
  <c r="AI84" i="9"/>
  <c r="AI83" i="9"/>
  <c r="M96" i="9"/>
  <c r="M94" i="9"/>
  <c r="M35" i="9"/>
  <c r="M107" i="9"/>
  <c r="M108" i="9"/>
  <c r="M86" i="9"/>
  <c r="K108" i="9"/>
  <c r="K86" i="9"/>
  <c r="C108" i="9"/>
  <c r="C86" i="9"/>
  <c r="AQ114" i="9"/>
  <c r="AQ84" i="9"/>
  <c r="AQ83" i="9"/>
  <c r="I114" i="9"/>
  <c r="I84" i="9"/>
  <c r="I83" i="9"/>
  <c r="Q108" i="9"/>
  <c r="Q107" i="9"/>
  <c r="Q86" i="9"/>
  <c r="AB109" i="9"/>
  <c r="AB112" i="9"/>
  <c r="AB21" i="9"/>
  <c r="AB24" i="9" s="1"/>
  <c r="E114" i="9"/>
  <c r="E84" i="9"/>
  <c r="E83" i="9"/>
  <c r="I96" i="8"/>
  <c r="I94" i="8"/>
  <c r="I35" i="8"/>
  <c r="DM108" i="8"/>
  <c r="DM107" i="8"/>
  <c r="DM86" i="8"/>
  <c r="DU114" i="8"/>
  <c r="DU83" i="8"/>
  <c r="DU84" i="8"/>
  <c r="DR108" i="8"/>
  <c r="DR86" i="8"/>
  <c r="CV108" i="8"/>
  <c r="CV86" i="8"/>
  <c r="BK108" i="8"/>
  <c r="BK86" i="8"/>
  <c r="AN108" i="8"/>
  <c r="AN86" i="8"/>
  <c r="DF90" i="8"/>
  <c r="DF91" i="8"/>
  <c r="CQ88" i="8"/>
  <c r="CQ13" i="8"/>
  <c r="CE94" i="8"/>
  <c r="CE96" i="8"/>
  <c r="CE35" i="8"/>
  <c r="DQ107" i="8"/>
  <c r="DQ108" i="8"/>
  <c r="DQ86" i="8"/>
  <c r="BX108" i="8"/>
  <c r="BX86" i="8"/>
  <c r="BH108" i="8"/>
  <c r="BH86" i="8"/>
  <c r="Z91" i="8"/>
  <c r="CU112" i="8"/>
  <c r="CU21" i="8"/>
  <c r="CU24" i="8" s="1"/>
  <c r="AP112" i="8"/>
  <c r="AP109" i="8"/>
  <c r="AP21" i="8"/>
  <c r="AP24" i="8" s="1"/>
  <c r="N112" i="8"/>
  <c r="N109" i="8"/>
  <c r="N21" i="8"/>
  <c r="N24" i="8" s="1"/>
  <c r="CQ86" i="8"/>
  <c r="BR94" i="8"/>
  <c r="BR96" i="8"/>
  <c r="BR35" i="8"/>
  <c r="DN108" i="8"/>
  <c r="DN86" i="8"/>
  <c r="DF108" i="8"/>
  <c r="DF107" i="8"/>
  <c r="CJ108" i="8"/>
  <c r="CJ86" i="8"/>
  <c r="AY91" i="8"/>
  <c r="CD107" i="8"/>
  <c r="DG88" i="8"/>
  <c r="DG13" i="8"/>
  <c r="AH113" i="8"/>
  <c r="AH101" i="8"/>
  <c r="AH88" i="8"/>
  <c r="DU91" i="8"/>
  <c r="DQ83" i="8"/>
  <c r="CA108" i="7"/>
  <c r="CA86" i="7"/>
  <c r="BR50" i="8"/>
  <c r="AE90" i="8"/>
  <c r="DG21" i="8"/>
  <c r="DG24" i="8" s="1"/>
  <c r="V83" i="8"/>
  <c r="BV83" i="8"/>
  <c r="S108" i="7"/>
  <c r="S86" i="7"/>
  <c r="R96" i="7"/>
  <c r="R94" i="7"/>
  <c r="R35" i="7"/>
  <c r="AW107" i="7"/>
  <c r="AW108" i="7"/>
  <c r="AL96" i="7"/>
  <c r="AL94" i="7"/>
  <c r="AL35" i="7"/>
  <c r="M101" i="7"/>
  <c r="M113" i="7"/>
  <c r="M13" i="7"/>
  <c r="M91" i="7" s="1"/>
  <c r="M88" i="7"/>
  <c r="BU109" i="7"/>
  <c r="BU112" i="7"/>
  <c r="BU21" i="7"/>
  <c r="BU24" i="7" s="1"/>
  <c r="AG114" i="7"/>
  <c r="AG84" i="7"/>
  <c r="AG83" i="7"/>
  <c r="Q88" i="7"/>
  <c r="BE94" i="7"/>
  <c r="BE35" i="7"/>
  <c r="AQ108" i="7"/>
  <c r="AQ86" i="7"/>
  <c r="W108" i="7"/>
  <c r="W86" i="7"/>
  <c r="Q107" i="7"/>
  <c r="Q108" i="7"/>
  <c r="AO91" i="7"/>
  <c r="U91" i="7"/>
  <c r="AD96" i="7"/>
  <c r="AD94" i="7"/>
  <c r="AD35" i="7"/>
  <c r="BF108" i="7"/>
  <c r="BF86" i="7"/>
  <c r="BY114" i="7"/>
  <c r="BY84" i="7"/>
  <c r="BY83" i="7"/>
  <c r="Q90" i="7"/>
  <c r="AK109" i="7"/>
  <c r="AK112" i="7"/>
  <c r="AK21" i="7"/>
  <c r="AK24" i="7" s="1"/>
  <c r="BI101" i="7"/>
  <c r="BI88" i="7"/>
  <c r="BI113" i="7"/>
  <c r="BI13" i="7"/>
  <c r="BI91" i="7" s="1"/>
  <c r="R91" i="7"/>
  <c r="BM113" i="7"/>
  <c r="BM88" i="7"/>
  <c r="BM13" i="7"/>
  <c r="BM91" i="7" s="1"/>
  <c r="AT90" i="7"/>
  <c r="BQ83" i="7"/>
  <c r="BY90" i="7"/>
  <c r="AS91" i="7"/>
  <c r="BU88" i="7"/>
  <c r="ET96" i="6"/>
  <c r="ET94" i="6"/>
  <c r="ET35" i="6"/>
  <c r="AR94" i="6"/>
  <c r="AR35" i="6"/>
  <c r="AR96" i="6"/>
  <c r="EN108" i="6"/>
  <c r="EN86" i="6"/>
  <c r="EP108" i="6"/>
  <c r="EP107" i="6"/>
  <c r="CG108" i="6"/>
  <c r="CG86" i="6"/>
  <c r="CI108" i="6"/>
  <c r="CI107" i="6"/>
  <c r="AI108" i="6"/>
  <c r="AI86" i="6"/>
  <c r="GH35" i="6"/>
  <c r="GH96" i="6"/>
  <c r="GH94" i="6"/>
  <c r="FB108" i="6"/>
  <c r="FB107" i="6"/>
  <c r="FB86" i="6"/>
  <c r="EZ108" i="6"/>
  <c r="EZ86" i="6"/>
  <c r="CE107" i="6"/>
  <c r="CE86" i="6"/>
  <c r="L107" i="6"/>
  <c r="L108" i="6"/>
  <c r="BH128" i="6"/>
  <c r="BH130" i="6"/>
  <c r="BH105" i="6"/>
  <c r="BH51" i="6"/>
  <c r="BJ96" i="6"/>
  <c r="BJ94" i="6"/>
  <c r="BJ35" i="6"/>
  <c r="EV108" i="6"/>
  <c r="EV86" i="6"/>
  <c r="CD108" i="6"/>
  <c r="CD86" i="6"/>
  <c r="BJ108" i="6"/>
  <c r="BJ86" i="6"/>
  <c r="X108" i="6"/>
  <c r="X107" i="6"/>
  <c r="CD107" i="6"/>
  <c r="W107" i="6"/>
  <c r="X90" i="6"/>
  <c r="FN96" i="6"/>
  <c r="FN94" i="6"/>
  <c r="FN35" i="6"/>
  <c r="EE96" i="6"/>
  <c r="EE94" i="6"/>
  <c r="EE35" i="6"/>
  <c r="AS94" i="6"/>
  <c r="AS35" i="6"/>
  <c r="CC107" i="6"/>
  <c r="CC108" i="6"/>
  <c r="CC86" i="6"/>
  <c r="GT114" i="6"/>
  <c r="GT84" i="6"/>
  <c r="GT83" i="6"/>
  <c r="BP114" i="6"/>
  <c r="BP83" i="6"/>
  <c r="BP84" i="6"/>
  <c r="EP101" i="6"/>
  <c r="EP113" i="6"/>
  <c r="EP88" i="6"/>
  <c r="EP13" i="6"/>
  <c r="EA88" i="6"/>
  <c r="EA13" i="6"/>
  <c r="EA91" i="6" s="1"/>
  <c r="X86" i="6"/>
  <c r="GP114" i="6"/>
  <c r="GP83" i="6"/>
  <c r="GP84" i="6"/>
  <c r="DZ109" i="6"/>
  <c r="DZ112" i="6"/>
  <c r="DZ21" i="6"/>
  <c r="DZ24" i="6" s="1"/>
  <c r="W109" i="6"/>
  <c r="W112" i="6"/>
  <c r="W21" i="6"/>
  <c r="W24" i="6" s="1"/>
  <c r="F114" i="6"/>
  <c r="F84" i="6"/>
  <c r="F83" i="6"/>
  <c r="AR90" i="6"/>
  <c r="AR91" i="6"/>
  <c r="AL86" i="6"/>
  <c r="W86" i="6"/>
  <c r="AM88" i="6"/>
  <c r="AM13" i="6"/>
  <c r="GM109" i="6"/>
  <c r="GM112" i="6"/>
  <c r="GM21" i="6"/>
  <c r="GM24" i="6" s="1"/>
  <c r="EH114" i="6"/>
  <c r="EH84" i="6"/>
  <c r="EH83" i="6"/>
  <c r="S109" i="6"/>
  <c r="S112" i="6"/>
  <c r="S21" i="6"/>
  <c r="S24" i="6" s="1"/>
  <c r="FV91" i="6"/>
  <c r="FV90" i="6"/>
  <c r="EE86" i="6"/>
  <c r="CJ88" i="6"/>
  <c r="CJ13" i="6"/>
  <c r="AT113" i="6"/>
  <c r="AT88" i="6"/>
  <c r="AT13" i="6"/>
  <c r="S113" i="6"/>
  <c r="S101" i="6"/>
  <c r="S88" i="6"/>
  <c r="S13" i="6"/>
  <c r="S90" i="6" s="1"/>
  <c r="M86" i="6"/>
  <c r="AU113" i="6"/>
  <c r="AU88" i="6"/>
  <c r="AU13" i="6"/>
  <c r="FR114" i="6"/>
  <c r="FR84" i="6"/>
  <c r="FR83" i="6"/>
  <c r="ED114" i="6"/>
  <c r="ED83" i="6"/>
  <c r="ED84" i="6"/>
  <c r="EP86" i="6"/>
  <c r="CC91" i="6"/>
  <c r="Y90" i="6"/>
  <c r="EM88" i="6"/>
  <c r="EM13" i="6"/>
  <c r="Q101" i="6"/>
  <c r="Q113" i="6"/>
  <c r="Q88" i="6"/>
  <c r="Q13" i="6"/>
  <c r="AM86" i="6"/>
  <c r="W88" i="6"/>
  <c r="N94" i="9"/>
  <c r="N96" i="9"/>
  <c r="N35" i="9"/>
  <c r="AA114" i="9"/>
  <c r="AA84" i="9"/>
  <c r="AA83" i="9"/>
  <c r="E94" i="9"/>
  <c r="E35" i="9"/>
  <c r="J94" i="9"/>
  <c r="J96" i="9"/>
  <c r="J35" i="9"/>
  <c r="J108" i="9"/>
  <c r="J86" i="9"/>
  <c r="AN90" i="9"/>
  <c r="AN91" i="9"/>
  <c r="O108" i="9"/>
  <c r="O86" i="9"/>
  <c r="U114" i="9"/>
  <c r="U84" i="9"/>
  <c r="U83" i="9"/>
  <c r="AQ91" i="9"/>
  <c r="AA90" i="9"/>
  <c r="F86" i="9"/>
  <c r="BZ94" i="8"/>
  <c r="BZ35" i="8"/>
  <c r="AM96" i="8"/>
  <c r="AM94" i="8"/>
  <c r="AM35" i="8"/>
  <c r="CB108" i="8"/>
  <c r="CB86" i="8"/>
  <c r="BN108" i="8"/>
  <c r="BN107" i="8"/>
  <c r="BN86" i="8"/>
  <c r="K108" i="8"/>
  <c r="K86" i="8"/>
  <c r="BZ114" i="8"/>
  <c r="BZ83" i="8"/>
  <c r="BZ84" i="8"/>
  <c r="DJ96" i="8"/>
  <c r="DJ94" i="8"/>
  <c r="DJ35" i="8"/>
  <c r="V94" i="8"/>
  <c r="V96" i="8"/>
  <c r="V35" i="8"/>
  <c r="CP108" i="8"/>
  <c r="CP107" i="8"/>
  <c r="CA108" i="8"/>
  <c r="CA86" i="8"/>
  <c r="E107" i="8"/>
  <c r="E108" i="8"/>
  <c r="AQ90" i="8"/>
  <c r="AQ91" i="8"/>
  <c r="BR90" i="8"/>
  <c r="BR91" i="8"/>
  <c r="AH107" i="8"/>
  <c r="AP113" i="8"/>
  <c r="AP101" i="8"/>
  <c r="AP88" i="8"/>
  <c r="AP13" i="8"/>
  <c r="AP91" i="8" s="1"/>
  <c r="CX112" i="8"/>
  <c r="CX109" i="8"/>
  <c r="CX21" i="8"/>
  <c r="CX24" i="8" s="1"/>
  <c r="N86" i="8"/>
  <c r="DQ96" i="8"/>
  <c r="DQ94" i="8"/>
  <c r="DQ35" i="8"/>
  <c r="BV94" i="8"/>
  <c r="BV35" i="8"/>
  <c r="DU94" i="8"/>
  <c r="DU96" i="8"/>
  <c r="DU35" i="8"/>
  <c r="DJ107" i="8"/>
  <c r="DJ86" i="8"/>
  <c r="AD107" i="8"/>
  <c r="AD108" i="8"/>
  <c r="AH91" i="8"/>
  <c r="AU109" i="8"/>
  <c r="CX88" i="8"/>
  <c r="AD112" i="8"/>
  <c r="AD109" i="8"/>
  <c r="AD21" i="8"/>
  <c r="AD24" i="8" s="1"/>
  <c r="AQ86" i="8"/>
  <c r="AQ94" i="8"/>
  <c r="AQ96" i="8"/>
  <c r="AQ35" i="8"/>
  <c r="DF94" i="8"/>
  <c r="DF96" i="8"/>
  <c r="DF35" i="8"/>
  <c r="CR108" i="8"/>
  <c r="CR86" i="8"/>
  <c r="BO108" i="8"/>
  <c r="BO86" i="8"/>
  <c r="AR108" i="8"/>
  <c r="AR86" i="8"/>
  <c r="AJ108" i="8"/>
  <c r="AJ86" i="8"/>
  <c r="CP90" i="8"/>
  <c r="CP91" i="8"/>
  <c r="AT109" i="8"/>
  <c r="CU88" i="8"/>
  <c r="CU13" i="8"/>
  <c r="CP21" i="8"/>
  <c r="CP24" i="8" s="1"/>
  <c r="E114" i="8"/>
  <c r="E84" i="8"/>
  <c r="E83" i="8"/>
  <c r="AU108" i="7"/>
  <c r="AU86" i="7"/>
  <c r="BJ83" i="8"/>
  <c r="I83" i="8"/>
  <c r="CX90" i="8"/>
  <c r="G108" i="7"/>
  <c r="G86" i="7"/>
  <c r="CP86" i="8"/>
  <c r="BK108" i="7"/>
  <c r="BK86" i="7"/>
  <c r="AT96" i="7"/>
  <c r="AT94" i="7"/>
  <c r="AT35" i="7"/>
  <c r="AT108" i="7"/>
  <c r="AT86" i="7"/>
  <c r="Z108" i="7"/>
  <c r="Z86" i="7"/>
  <c r="F108" i="7"/>
  <c r="F86" i="7"/>
  <c r="E91" i="7"/>
  <c r="E90" i="7"/>
  <c r="BM112" i="7"/>
  <c r="BM21" i="7"/>
  <c r="BM24" i="7" s="1"/>
  <c r="BS108" i="7"/>
  <c r="BS86" i="7"/>
  <c r="Y108" i="7"/>
  <c r="Y107" i="7"/>
  <c r="Y86" i="7"/>
  <c r="BJ112" i="7"/>
  <c r="BJ21" i="7"/>
  <c r="BJ24" i="7" s="1"/>
  <c r="BU90" i="7"/>
  <c r="BU91" i="7"/>
  <c r="BM86" i="7"/>
  <c r="BV96" i="7"/>
  <c r="BV94" i="7"/>
  <c r="BV35" i="7"/>
  <c r="E107" i="7"/>
  <c r="M112" i="7"/>
  <c r="M109" i="7"/>
  <c r="M21" i="7"/>
  <c r="M24" i="7" s="1"/>
  <c r="AL88" i="7"/>
  <c r="AL12" i="7"/>
  <c r="J91" i="7"/>
  <c r="AS88" i="7"/>
  <c r="AW114" i="7"/>
  <c r="AW84" i="7"/>
  <c r="AW83" i="7"/>
  <c r="AK86" i="7"/>
  <c r="EL35" i="6"/>
  <c r="EL94" i="6"/>
  <c r="GY108" i="6"/>
  <c r="GY86" i="6"/>
  <c r="FW108" i="6"/>
  <c r="FW86" i="6"/>
  <c r="FC108" i="6"/>
  <c r="FC86" i="6"/>
  <c r="DV108" i="6"/>
  <c r="DV107" i="6"/>
  <c r="AU94" i="6"/>
  <c r="AU35" i="6"/>
  <c r="AU96" i="6"/>
  <c r="GX108" i="6"/>
  <c r="GX107" i="6"/>
  <c r="GX86" i="6"/>
  <c r="FV108" i="6"/>
  <c r="FV107" i="6"/>
  <c r="FV86" i="6"/>
  <c r="AH108" i="6"/>
  <c r="AH107" i="6"/>
  <c r="AH86" i="6"/>
  <c r="AT96" i="6"/>
  <c r="AT94" i="6"/>
  <c r="AT35" i="6"/>
  <c r="HF107" i="6"/>
  <c r="HF108" i="6"/>
  <c r="HF86" i="6"/>
  <c r="HG108" i="6"/>
  <c r="HG86" i="6"/>
  <c r="GA108" i="6"/>
  <c r="GA86" i="6"/>
  <c r="EX108" i="6"/>
  <c r="EX86" i="6"/>
  <c r="ED107" i="6"/>
  <c r="GL96" i="6"/>
  <c r="GL94" i="6"/>
  <c r="GL35" i="6"/>
  <c r="FF94" i="6"/>
  <c r="FF96" i="6"/>
  <c r="FF35" i="6"/>
  <c r="DW96" i="6"/>
  <c r="DW94" i="6"/>
  <c r="DW35" i="6"/>
  <c r="FR108" i="6"/>
  <c r="FR107" i="6"/>
  <c r="FR86" i="6"/>
  <c r="CX108" i="6"/>
  <c r="CX107" i="6"/>
  <c r="CX86" i="6"/>
  <c r="GD114" i="6"/>
  <c r="GD84" i="6"/>
  <c r="GD83" i="6"/>
  <c r="BC114" i="6"/>
  <c r="BC84" i="6"/>
  <c r="BC83" i="6"/>
  <c r="GL109" i="6"/>
  <c r="GL112" i="6"/>
  <c r="GL21" i="6"/>
  <c r="GL24" i="6" s="1"/>
  <c r="AR109" i="6"/>
  <c r="AR112" i="6"/>
  <c r="AR21" i="6"/>
  <c r="AR24" i="6" s="1"/>
  <c r="AS90" i="6"/>
  <c r="AS91" i="6"/>
  <c r="CM112" i="6"/>
  <c r="CM109" i="6"/>
  <c r="CM21" i="6"/>
  <c r="CM24" i="6" s="1"/>
  <c r="BO114" i="6"/>
  <c r="BO83" i="6"/>
  <c r="BO84" i="6"/>
  <c r="BG114" i="6"/>
  <c r="BG84" i="6"/>
  <c r="BG83" i="6"/>
  <c r="AY114" i="6"/>
  <c r="AY83" i="6"/>
  <c r="AY84" i="6"/>
  <c r="AL113" i="6"/>
  <c r="AL88" i="6"/>
  <c r="AL13" i="6"/>
  <c r="HG114" i="6"/>
  <c r="HG84" i="6"/>
  <c r="HG83" i="6"/>
  <c r="GX114" i="6"/>
  <c r="GX84" i="6"/>
  <c r="GX83" i="6"/>
  <c r="CJ109" i="6"/>
  <c r="CJ112" i="6"/>
  <c r="CJ21" i="6"/>
  <c r="CJ24" i="6" s="1"/>
  <c r="BN114" i="6"/>
  <c r="BN84" i="6"/>
  <c r="BN83" i="6"/>
  <c r="AD114" i="6"/>
  <c r="AD84" i="6"/>
  <c r="AD83" i="6"/>
  <c r="L109" i="6"/>
  <c r="L112" i="6"/>
  <c r="L21" i="6"/>
  <c r="L24" i="6" s="1"/>
  <c r="FV109" i="6"/>
  <c r="FV112" i="6"/>
  <c r="FV21" i="6"/>
  <c r="FV24" i="6" s="1"/>
  <c r="EQ88" i="6"/>
  <c r="EQ13" i="6"/>
  <c r="DW109" i="6"/>
  <c r="DW112" i="6"/>
  <c r="DW21" i="6"/>
  <c r="DW24" i="6" s="1"/>
  <c r="S91" i="6"/>
  <c r="GL88" i="6"/>
  <c r="EP21" i="6"/>
  <c r="EP24" i="6" s="1"/>
  <c r="BQ114" i="6"/>
  <c r="BQ84" i="6"/>
  <c r="BQ83" i="6"/>
  <c r="BJ114" i="6"/>
  <c r="BJ84" i="6"/>
  <c r="BJ83" i="6"/>
  <c r="DV86" i="6"/>
  <c r="FZ114" i="6"/>
  <c r="FZ83" i="6"/>
  <c r="FZ84" i="6"/>
  <c r="EM109" i="6"/>
  <c r="EM112" i="6"/>
  <c r="EM21" i="6"/>
  <c r="EM24" i="6" s="1"/>
  <c r="Q112" i="6"/>
  <c r="Q21" i="6"/>
  <c r="Q24" i="6" s="1"/>
  <c r="BU114" i="6"/>
  <c r="BU84" i="6"/>
  <c r="BU83" i="6"/>
  <c r="AU21" i="6"/>
  <c r="AU24" i="6" s="1"/>
  <c r="F96" i="9"/>
  <c r="F94" i="9"/>
  <c r="F35" i="9"/>
  <c r="R108" i="9"/>
  <c r="R86" i="9"/>
  <c r="AE114" i="9"/>
  <c r="AE84" i="9"/>
  <c r="AE83" i="9"/>
  <c r="F112" i="9"/>
  <c r="F109" i="9"/>
  <c r="F21" i="9"/>
  <c r="F24" i="9" s="1"/>
  <c r="Q96" i="9"/>
  <c r="Q94" i="9"/>
  <c r="Q35" i="9"/>
  <c r="I108" i="9"/>
  <c r="I107" i="9"/>
  <c r="I86" i="9"/>
  <c r="M114" i="9"/>
  <c r="M84" i="9"/>
  <c r="M83" i="9"/>
  <c r="CX96" i="8"/>
  <c r="CX94" i="8"/>
  <c r="CX35" i="8"/>
  <c r="DL108" i="8"/>
  <c r="DL107" i="8"/>
  <c r="DL86" i="8"/>
  <c r="AF108" i="8"/>
  <c r="AF86" i="8"/>
  <c r="BR114" i="8"/>
  <c r="BR84" i="8"/>
  <c r="BR83" i="8"/>
  <c r="BS90" i="8"/>
  <c r="BS91" i="8"/>
  <c r="CT113" i="8"/>
  <c r="CT88" i="8"/>
  <c r="CT101" i="8"/>
  <c r="CT13" i="8"/>
  <c r="CT90" i="8" s="1"/>
  <c r="AT112" i="8"/>
  <c r="AT21" i="8"/>
  <c r="AT24" i="8" s="1"/>
  <c r="AL94" i="8"/>
  <c r="AL35" i="8"/>
  <c r="N94" i="8"/>
  <c r="N96" i="8"/>
  <c r="N35" i="8"/>
  <c r="DL83" i="8"/>
  <c r="DL85" i="8"/>
  <c r="CL96" i="8"/>
  <c r="CL94" i="8"/>
  <c r="CL35" i="8"/>
  <c r="DK107" i="8"/>
  <c r="DK108" i="8"/>
  <c r="DK86" i="8"/>
  <c r="CX107" i="8"/>
  <c r="CX108" i="8"/>
  <c r="BJ90" i="8"/>
  <c r="BJ91" i="8"/>
  <c r="AD113" i="8"/>
  <c r="AD101" i="8"/>
  <c r="AD88" i="8"/>
  <c r="AD13" i="8"/>
  <c r="AD90" i="8" s="1"/>
  <c r="CD112" i="8"/>
  <c r="CD21" i="8"/>
  <c r="CD24" i="8" s="1"/>
  <c r="DO108" i="8"/>
  <c r="DO86" i="8"/>
  <c r="DH108" i="8"/>
  <c r="DH86" i="8"/>
  <c r="CM108" i="8"/>
  <c r="CM86" i="8"/>
  <c r="BZ108" i="8"/>
  <c r="BZ107" i="8"/>
  <c r="BZ86" i="8"/>
  <c r="BJ107" i="8"/>
  <c r="BJ108" i="8"/>
  <c r="BJ86" i="8"/>
  <c r="AM108" i="8"/>
  <c r="AM86" i="8"/>
  <c r="CQ96" i="8"/>
  <c r="CQ94" i="8"/>
  <c r="CQ35" i="8"/>
  <c r="DD108" i="8"/>
  <c r="DD86" i="8"/>
  <c r="CL108" i="8"/>
  <c r="CL107" i="8"/>
  <c r="CL86" i="8"/>
  <c r="AU91" i="8"/>
  <c r="AU90" i="8"/>
  <c r="DF112" i="8"/>
  <c r="DF109" i="8"/>
  <c r="DF21" i="8"/>
  <c r="DF24" i="8" s="1"/>
  <c r="AU112" i="8"/>
  <c r="AU21" i="8"/>
  <c r="AU24" i="8" s="1"/>
  <c r="M109" i="8"/>
  <c r="M112" i="8"/>
  <c r="M21" i="8"/>
  <c r="M24" i="8" s="1"/>
  <c r="DM83" i="8"/>
  <c r="CL83" i="8"/>
  <c r="M91" i="8"/>
  <c r="CE21" i="8"/>
  <c r="CE24" i="8" s="1"/>
  <c r="BN83" i="8"/>
  <c r="CD90" i="8"/>
  <c r="CQ21" i="8"/>
  <c r="CQ24" i="8" s="1"/>
  <c r="AE86" i="8"/>
  <c r="BE108" i="7"/>
  <c r="BE107" i="7"/>
  <c r="BB108" i="7"/>
  <c r="BB86" i="7"/>
  <c r="BR114" i="7"/>
  <c r="BR84" i="7"/>
  <c r="BR83" i="7"/>
  <c r="BM107" i="7"/>
  <c r="BJ88" i="7"/>
  <c r="BJ13" i="7"/>
  <c r="BJ90" i="7" s="1"/>
  <c r="AO114" i="7"/>
  <c r="AO84" i="7"/>
  <c r="AO83" i="7"/>
  <c r="Q112" i="7"/>
  <c r="Q109" i="7"/>
  <c r="Q21" i="7"/>
  <c r="Q24" i="7" s="1"/>
  <c r="CC91" i="7"/>
  <c r="CC90" i="7"/>
  <c r="AK108" i="7"/>
  <c r="BY96" i="7"/>
  <c r="BY94" i="7"/>
  <c r="BY35" i="7"/>
  <c r="J96" i="7"/>
  <c r="J94" i="7"/>
  <c r="J35" i="7"/>
  <c r="BG108" i="7"/>
  <c r="BG86" i="7"/>
  <c r="AY108" i="7"/>
  <c r="AY86" i="7"/>
  <c r="AS108" i="7"/>
  <c r="AS107" i="7"/>
  <c r="E114" i="7"/>
  <c r="E84" i="7"/>
  <c r="E83" i="7"/>
  <c r="E108" i="7"/>
  <c r="BM94" i="7"/>
  <c r="BM35" i="7"/>
  <c r="I96" i="7"/>
  <c r="I94" i="7"/>
  <c r="I35" i="7"/>
  <c r="AK113" i="7"/>
  <c r="AK88" i="7"/>
  <c r="AK12" i="7"/>
  <c r="AK90" i="7" s="1"/>
  <c r="BE86" i="7"/>
  <c r="AK101" i="7"/>
  <c r="I108" i="7"/>
  <c r="I107" i="7"/>
  <c r="I86" i="7"/>
  <c r="U114" i="7"/>
  <c r="U84" i="7"/>
  <c r="U83" i="7"/>
  <c r="N88" i="7"/>
  <c r="N13" i="7"/>
  <c r="N91" i="7" s="1"/>
  <c r="BN86" i="7"/>
  <c r="BE114" i="7"/>
  <c r="BE84" i="7"/>
  <c r="BE83" i="7"/>
  <c r="BJ86" i="7"/>
  <c r="N21" i="7"/>
  <c r="N24" i="7" s="1"/>
  <c r="HB96" i="6"/>
  <c r="HB35" i="6"/>
  <c r="HB94" i="6"/>
  <c r="ED96" i="6"/>
  <c r="ED94" i="6"/>
  <c r="ED35" i="6"/>
  <c r="DT108" i="6"/>
  <c r="DT86" i="6"/>
  <c r="BC108" i="6"/>
  <c r="BC86" i="6"/>
  <c r="EI96" i="6"/>
  <c r="EI94" i="6"/>
  <c r="EI35" i="6"/>
  <c r="DI108" i="6"/>
  <c r="DI86" i="6"/>
  <c r="BO107" i="6"/>
  <c r="BO108" i="6"/>
  <c r="BO86" i="6"/>
  <c r="DF108" i="6"/>
  <c r="DF86" i="6"/>
  <c r="Q91" i="6"/>
  <c r="Q90" i="6"/>
  <c r="GD96" i="6"/>
  <c r="GD94" i="6"/>
  <c r="GD35" i="6"/>
  <c r="EU96" i="6"/>
  <c r="EU94" i="6"/>
  <c r="EU35" i="6"/>
  <c r="CE96" i="6"/>
  <c r="CE94" i="6"/>
  <c r="CE35" i="6"/>
  <c r="HB108" i="6"/>
  <c r="HB107" i="6"/>
  <c r="HB86" i="6"/>
  <c r="FZ107" i="6"/>
  <c r="FZ108" i="6"/>
  <c r="FZ86" i="6"/>
  <c r="FX108" i="6"/>
  <c r="FX86" i="6"/>
  <c r="FP108" i="6"/>
  <c r="FP86" i="6"/>
  <c r="CY108" i="6"/>
  <c r="CY86" i="6"/>
  <c r="BI107" i="6"/>
  <c r="BI108" i="6"/>
  <c r="FN114" i="6"/>
  <c r="FN84" i="6"/>
  <c r="FN83" i="6"/>
  <c r="CE114" i="6"/>
  <c r="CE84" i="6"/>
  <c r="CE83" i="6"/>
  <c r="AL91" i="6"/>
  <c r="AL90" i="6"/>
  <c r="CI101" i="6"/>
  <c r="CI113" i="6"/>
  <c r="CI88" i="6"/>
  <c r="CI13" i="6"/>
  <c r="CI91" i="6" s="1"/>
  <c r="EU109" i="6"/>
  <c r="EU112" i="6"/>
  <c r="EU88" i="6"/>
  <c r="EU21" i="6"/>
  <c r="EU24" i="6" s="1"/>
  <c r="EU91" i="6"/>
  <c r="HB114" i="6"/>
  <c r="HB83" i="6"/>
  <c r="HB84" i="6"/>
  <c r="GH109" i="6"/>
  <c r="GH112" i="6"/>
  <c r="GH21" i="6"/>
  <c r="GH24" i="6" s="1"/>
  <c r="DO114" i="6"/>
  <c r="DO84" i="6"/>
  <c r="DO83" i="6"/>
  <c r="CT114" i="6"/>
  <c r="CT84" i="6"/>
  <c r="CT83" i="6"/>
  <c r="Y114" i="6"/>
  <c r="Y83" i="6"/>
  <c r="Y84" i="6"/>
  <c r="GL91" i="6"/>
  <c r="GL90" i="6"/>
  <c r="CN109" i="6"/>
  <c r="CN112" i="6"/>
  <c r="CN21" i="6"/>
  <c r="CN24" i="6" s="1"/>
  <c r="X112" i="6"/>
  <c r="X109" i="6"/>
  <c r="X21" i="6"/>
  <c r="X24" i="6" s="1"/>
  <c r="EL113" i="6"/>
  <c r="EL88" i="6"/>
  <c r="EL13" i="6"/>
  <c r="ET114" i="6"/>
  <c r="ET83" i="6"/>
  <c r="ET84" i="6"/>
  <c r="CD114" i="6"/>
  <c r="CD84" i="6"/>
  <c r="CD83" i="6"/>
  <c r="GH101" i="6"/>
  <c r="GH113" i="6"/>
  <c r="GH88" i="6"/>
  <c r="GH13" i="6"/>
  <c r="EI90" i="6"/>
  <c r="CN91" i="6"/>
  <c r="CX114" i="6"/>
  <c r="CX84" i="6"/>
  <c r="CX83" i="6"/>
  <c r="CC114" i="6"/>
  <c r="CC83" i="6"/>
  <c r="CC84" i="6"/>
  <c r="E114" i="6"/>
  <c r="E83" i="6"/>
  <c r="E84" i="6"/>
  <c r="AM90" i="6"/>
  <c r="AM91" i="6"/>
  <c r="EQ86" i="6"/>
  <c r="DW86" i="6"/>
  <c r="BI112" i="6"/>
  <c r="BI109" i="6"/>
  <c r="BI21" i="6"/>
  <c r="BI24" i="6" s="1"/>
  <c r="AT109" i="6"/>
  <c r="AT112" i="6"/>
  <c r="AT21" i="6"/>
  <c r="AT24" i="6" s="1"/>
  <c r="GI109" i="6"/>
  <c r="GI112" i="6"/>
  <c r="GI21" i="6"/>
  <c r="GI24" i="6" s="1"/>
  <c r="FB114" i="6"/>
  <c r="FB84" i="6"/>
  <c r="FB83" i="6"/>
  <c r="CI86" i="6"/>
  <c r="CU90" i="6"/>
  <c r="EA109" i="6"/>
  <c r="EA112" i="6"/>
  <c r="EA21" i="6"/>
  <c r="EA24" i="6" s="1"/>
  <c r="G114" i="6"/>
  <c r="G84" i="6"/>
  <c r="G83" i="6"/>
  <c r="N108" i="9"/>
  <c r="N86" i="9"/>
  <c r="AB94" i="9"/>
  <c r="AB35" i="9"/>
  <c r="E108" i="9"/>
  <c r="E107" i="9"/>
  <c r="E86" i="9"/>
  <c r="Q114" i="9"/>
  <c r="Q84" i="9"/>
  <c r="Q83" i="9"/>
  <c r="W114" i="9"/>
  <c r="W84" i="9"/>
  <c r="W83" i="9"/>
  <c r="AN109" i="9"/>
  <c r="AN112" i="9"/>
  <c r="AN21" i="9"/>
  <c r="AN24" i="9" s="1"/>
  <c r="I94" i="9"/>
  <c r="I96" i="9"/>
  <c r="I35" i="9"/>
  <c r="G108" i="9"/>
  <c r="G86" i="9"/>
  <c r="AM90" i="9"/>
  <c r="AM91" i="9"/>
  <c r="AM109" i="9"/>
  <c r="AM112" i="9"/>
  <c r="AM88" i="9"/>
  <c r="AM21" i="9"/>
  <c r="AM24" i="9" s="1"/>
  <c r="AN88" i="9"/>
  <c r="F91" i="9"/>
  <c r="AU94" i="8"/>
  <c r="AU35" i="8"/>
  <c r="CY108" i="8"/>
  <c r="CY86" i="8"/>
  <c r="BL108" i="8"/>
  <c r="BL86" i="8"/>
  <c r="M108" i="8"/>
  <c r="M107" i="8"/>
  <c r="AT90" i="8"/>
  <c r="AT91" i="8"/>
  <c r="AU96" i="8"/>
  <c r="DM96" i="8"/>
  <c r="DM94" i="8"/>
  <c r="DM35" i="8"/>
  <c r="AL83" i="8"/>
  <c r="AL85" i="8"/>
  <c r="CN108" i="8"/>
  <c r="CN86" i="8"/>
  <c r="AP108" i="8"/>
  <c r="AP107" i="8"/>
  <c r="AH114" i="8"/>
  <c r="AH83" i="8"/>
  <c r="AH84" i="8"/>
  <c r="BJ96" i="8"/>
  <c r="BJ94" i="8"/>
  <c r="BJ35" i="8"/>
  <c r="AB108" i="8"/>
  <c r="AB86" i="8"/>
  <c r="CE90" i="8"/>
  <c r="CE91" i="8"/>
  <c r="CD94" i="8"/>
  <c r="CD35" i="8"/>
  <c r="AT108" i="8"/>
  <c r="AT86" i="8"/>
  <c r="AL108" i="8"/>
  <c r="AL107" i="8"/>
  <c r="AL86" i="8"/>
  <c r="CD109" i="8"/>
  <c r="AA109" i="8"/>
  <c r="AA112" i="8"/>
  <c r="AA88" i="8"/>
  <c r="AA21" i="8"/>
  <c r="AA24" i="8" s="1"/>
  <c r="DJ83" i="8"/>
  <c r="CU86" i="8"/>
  <c r="M90" i="8"/>
  <c r="AQ21" i="8"/>
  <c r="AQ24" i="8" s="1"/>
  <c r="CD91" i="8"/>
  <c r="Z83" i="8"/>
  <c r="AI108" i="7"/>
  <c r="AI86" i="7"/>
  <c r="BJ96" i="7"/>
  <c r="BJ94" i="7"/>
  <c r="BJ35" i="7"/>
  <c r="BM52" i="7"/>
  <c r="BM50" i="7"/>
  <c r="BR96" i="7"/>
  <c r="BR94" i="7"/>
  <c r="BR35" i="7"/>
  <c r="BV108" i="7"/>
  <c r="BV86" i="7"/>
  <c r="AC114" i="7"/>
  <c r="AC83" i="7"/>
  <c r="AC84" i="7"/>
  <c r="CC112" i="7"/>
  <c r="CC109" i="7"/>
  <c r="CC21" i="7"/>
  <c r="CC24" i="7" s="1"/>
  <c r="Y114" i="7"/>
  <c r="Y84" i="7"/>
  <c r="Y83" i="7"/>
  <c r="I114" i="7"/>
  <c r="I84" i="7"/>
  <c r="I83" i="7"/>
  <c r="BN96" i="7"/>
  <c r="BN94" i="7"/>
  <c r="BN35" i="7"/>
  <c r="AK94" i="7"/>
  <c r="AK35" i="7"/>
  <c r="BU107" i="7"/>
  <c r="BU86" i="7"/>
  <c r="BA108" i="7"/>
  <c r="BA107" i="7"/>
  <c r="BA86" i="7"/>
  <c r="O108" i="7"/>
  <c r="O86" i="7"/>
  <c r="C108" i="7"/>
  <c r="C86" i="7"/>
  <c r="AX90" i="7"/>
  <c r="AX91" i="7"/>
  <c r="AK96" i="7"/>
  <c r="V108" i="7"/>
  <c r="V86" i="7"/>
  <c r="J108" i="7"/>
  <c r="J86" i="7"/>
  <c r="AL91" i="7"/>
  <c r="AL90" i="7"/>
  <c r="AC90" i="7"/>
  <c r="AC91" i="7"/>
  <c r="BI112" i="7"/>
  <c r="BI21" i="7"/>
  <c r="BI24" i="7" s="1"/>
  <c r="AS112" i="7"/>
  <c r="AS109" i="7"/>
  <c r="AS21" i="7"/>
  <c r="AS24" i="7" s="1"/>
  <c r="AW86" i="7"/>
  <c r="BN109" i="7"/>
  <c r="BN112" i="7"/>
  <c r="BN21" i="7"/>
  <c r="BN24" i="7" s="1"/>
  <c r="R112" i="7"/>
  <c r="R109" i="7"/>
  <c r="R21" i="7"/>
  <c r="R24" i="7" s="1"/>
  <c r="R86" i="7"/>
  <c r="AX21" i="7"/>
  <c r="AX24" i="7" s="1"/>
  <c r="AL21" i="7"/>
  <c r="AL24" i="7" s="1"/>
  <c r="AP126" i="7"/>
  <c r="AP125" i="7"/>
  <c r="AP87" i="7" s="1"/>
  <c r="BA83" i="7"/>
  <c r="FC96" i="6"/>
  <c r="FC35" i="6"/>
  <c r="FC94" i="6"/>
  <c r="DV94" i="6"/>
  <c r="DV35" i="6"/>
  <c r="BQ108" i="6"/>
  <c r="BQ86" i="6"/>
  <c r="DV96" i="6"/>
  <c r="GY96" i="6"/>
  <c r="GY35" i="6"/>
  <c r="GY94" i="6"/>
  <c r="FR96" i="6"/>
  <c r="FR94" i="6"/>
  <c r="FR35" i="6"/>
  <c r="Y35" i="6"/>
  <c r="Y94" i="6"/>
  <c r="HH108" i="6"/>
  <c r="HH86" i="6"/>
  <c r="GV108" i="6"/>
  <c r="GV86" i="6"/>
  <c r="FT108" i="6"/>
  <c r="FT86" i="6"/>
  <c r="BP107" i="6"/>
  <c r="BP108" i="6"/>
  <c r="BP86" i="6"/>
  <c r="J108" i="6"/>
  <c r="J86" i="6"/>
  <c r="EH96" i="6"/>
  <c r="EH94" i="6"/>
  <c r="EH35" i="6"/>
  <c r="FS108" i="6"/>
  <c r="FS86" i="6"/>
  <c r="EB108" i="6"/>
  <c r="EB86" i="6"/>
  <c r="DH107" i="6"/>
  <c r="DH108" i="6"/>
  <c r="DH86" i="6"/>
  <c r="BC107" i="6"/>
  <c r="FV94" i="6"/>
  <c r="FV35" i="6"/>
  <c r="EM96" i="6"/>
  <c r="EM94" i="6"/>
  <c r="EM35" i="6"/>
  <c r="BP96" i="6"/>
  <c r="BP94" i="6"/>
  <c r="BP35" i="6"/>
  <c r="GZ108" i="6"/>
  <c r="GZ86" i="6"/>
  <c r="HF114" i="6"/>
  <c r="HF83" i="6"/>
  <c r="HF84" i="6"/>
  <c r="FF114" i="6"/>
  <c r="FF83" i="6"/>
  <c r="FF84" i="6"/>
  <c r="BY114" i="6"/>
  <c r="BY83" i="6"/>
  <c r="BY84" i="6"/>
  <c r="H114" i="6"/>
  <c r="H83" i="6"/>
  <c r="H84" i="6"/>
  <c r="DV101" i="6"/>
  <c r="DV113" i="6"/>
  <c r="DV88" i="6"/>
  <c r="DV13" i="6"/>
  <c r="DV90" i="6" s="1"/>
  <c r="BH113" i="6"/>
  <c r="BH88" i="6"/>
  <c r="BH13" i="6"/>
  <c r="BH90" i="6" s="1"/>
  <c r="EU90" i="6"/>
  <c r="EX114" i="6"/>
  <c r="EX84" i="6"/>
  <c r="EX83" i="6"/>
  <c r="Y96" i="6"/>
  <c r="ED91" i="6"/>
  <c r="X91" i="6"/>
  <c r="DZ113" i="6"/>
  <c r="DZ88" i="6"/>
  <c r="DZ13" i="6"/>
  <c r="P113" i="6"/>
  <c r="P101" i="6"/>
  <c r="P88" i="6"/>
  <c r="P13" i="6"/>
  <c r="P91" i="6" s="1"/>
  <c r="GH90" i="6"/>
  <c r="GH91" i="6"/>
  <c r="L90" i="6"/>
  <c r="L91" i="6"/>
  <c r="EQ109" i="6"/>
  <c r="EQ112" i="6"/>
  <c r="EQ21" i="6"/>
  <c r="EQ24" i="6" s="1"/>
  <c r="DV21" i="6"/>
  <c r="DV24" i="6" s="1"/>
  <c r="DH114" i="6"/>
  <c r="DH83" i="6"/>
  <c r="DH84" i="6"/>
  <c r="BH91" i="6"/>
  <c r="GM88" i="6"/>
  <c r="GM13" i="6"/>
  <c r="GM91" i="6" s="1"/>
  <c r="EE109" i="6"/>
  <c r="EE112" i="6"/>
  <c r="EE88" i="6"/>
  <c r="EE21" i="6"/>
  <c r="EE24" i="6" s="1"/>
  <c r="DW88" i="6"/>
  <c r="DW13" i="6"/>
  <c r="DW91" i="6" s="1"/>
  <c r="BI113" i="6"/>
  <c r="BI101" i="6"/>
  <c r="BI88" i="6"/>
  <c r="BI13" i="6"/>
  <c r="BI90" i="6" s="1"/>
  <c r="M88" i="6"/>
  <c r="M13" i="6"/>
  <c r="M91" i="6" s="1"/>
  <c r="FJ114" i="6"/>
  <c r="FJ83" i="6"/>
  <c r="FJ84" i="6"/>
  <c r="R114" i="6"/>
  <c r="R83" i="6"/>
  <c r="R84" i="6"/>
  <c r="FF91" i="6"/>
  <c r="FF90" i="6"/>
  <c r="EE91" i="6"/>
  <c r="GI88" i="6"/>
  <c r="GI13" i="6"/>
  <c r="GI91" i="6" s="1"/>
  <c r="DD114" i="6"/>
  <c r="DD83" i="6"/>
  <c r="DD84" i="6"/>
  <c r="AH114" i="6"/>
  <c r="AH84" i="6"/>
  <c r="AH83" i="6"/>
  <c r="AM112" i="6"/>
  <c r="AM109" i="6"/>
  <c r="AM21" i="6"/>
  <c r="AM24" i="6" s="1"/>
  <c r="AS21" i="6"/>
  <c r="AS24" i="6" s="1"/>
  <c r="CN88" i="6"/>
  <c r="EL21" i="6"/>
  <c r="EL24" i="6" s="1"/>
  <c r="CM88" i="6"/>
  <c r="Z114" i="6"/>
  <c r="Z83" i="6"/>
  <c r="Z84" i="6"/>
  <c r="AS114" i="6" l="1"/>
  <c r="AS84" i="6"/>
  <c r="AS83" i="6"/>
  <c r="DV114" i="6"/>
  <c r="DV84" i="6"/>
  <c r="DV83" i="6"/>
  <c r="DZ91" i="6"/>
  <c r="DZ90" i="6"/>
  <c r="BI91" i="6"/>
  <c r="EL90" i="6"/>
  <c r="EL91" i="6"/>
  <c r="GH114" i="6"/>
  <c r="GH84" i="6"/>
  <c r="GH83" i="6"/>
  <c r="DF114" i="8"/>
  <c r="DF83" i="8"/>
  <c r="DF84" i="8"/>
  <c r="EP114" i="6"/>
  <c r="EP83" i="6"/>
  <c r="EP84" i="6"/>
  <c r="DW90" i="6"/>
  <c r="AR114" i="6"/>
  <c r="AR83" i="6"/>
  <c r="AR84" i="6"/>
  <c r="M114" i="7"/>
  <c r="M83" i="7"/>
  <c r="M84" i="7"/>
  <c r="DZ114" i="6"/>
  <c r="DZ83" i="6"/>
  <c r="DZ84" i="6"/>
  <c r="M90" i="6"/>
  <c r="GM90" i="6"/>
  <c r="BH50" i="6"/>
  <c r="BG48" i="6"/>
  <c r="BG50" i="6" s="1"/>
  <c r="BI90" i="7"/>
  <c r="CT91" i="8"/>
  <c r="EA90" i="6"/>
  <c r="BI114" i="7"/>
  <c r="BI83" i="7"/>
  <c r="BI84" i="7"/>
  <c r="AU114" i="6"/>
  <c r="AU83" i="6"/>
  <c r="AU84" i="6"/>
  <c r="Q114" i="6"/>
  <c r="Q84" i="6"/>
  <c r="Q83" i="6"/>
  <c r="L114" i="6"/>
  <c r="L83" i="6"/>
  <c r="L84" i="6"/>
  <c r="BM114" i="7"/>
  <c r="BM84" i="7"/>
  <c r="BM83" i="7"/>
  <c r="BJ91" i="7"/>
  <c r="AD91" i="8"/>
  <c r="GI90" i="6"/>
  <c r="W114" i="6"/>
  <c r="W84" i="6"/>
  <c r="W83" i="6"/>
  <c r="CI90" i="6"/>
  <c r="EP91" i="6"/>
  <c r="EP90" i="6"/>
  <c r="P90" i="6"/>
  <c r="AK91" i="7"/>
  <c r="AP90" i="8"/>
  <c r="CQ91" i="8"/>
  <c r="CQ90" i="8"/>
  <c r="M90" i="7"/>
  <c r="EL114" i="6"/>
  <c r="EL84" i="6"/>
  <c r="EL83" i="6"/>
  <c r="AS114" i="7"/>
  <c r="AS83" i="7"/>
  <c r="AS84" i="7"/>
  <c r="CC114" i="7"/>
  <c r="CC84" i="7"/>
  <c r="CC83" i="7"/>
  <c r="AM114" i="9"/>
  <c r="AM84" i="9"/>
  <c r="AM83" i="9"/>
  <c r="BI114" i="6"/>
  <c r="BI83" i="6"/>
  <c r="BI84" i="6"/>
  <c r="AT114" i="8"/>
  <c r="AT84" i="8"/>
  <c r="AT83" i="8"/>
  <c r="EQ90" i="6"/>
  <c r="EQ91" i="6"/>
  <c r="FV114" i="6"/>
  <c r="FV83" i="6"/>
  <c r="FV84" i="6"/>
  <c r="DV91" i="6"/>
  <c r="CP114" i="8"/>
  <c r="CP83" i="8"/>
  <c r="CP84" i="8"/>
  <c r="CX114" i="8"/>
  <c r="CX83" i="8"/>
  <c r="CX84" i="8"/>
  <c r="EM91" i="6"/>
  <c r="EM90" i="6"/>
  <c r="AU91" i="6"/>
  <c r="AU90" i="6"/>
  <c r="CJ90" i="6"/>
  <c r="CJ91" i="6"/>
  <c r="BM90" i="7"/>
  <c r="DG90" i="8"/>
  <c r="DG91" i="8"/>
  <c r="AT114" i="6"/>
  <c r="AT84" i="6"/>
  <c r="AT83" i="6"/>
  <c r="X114" i="6"/>
  <c r="X84" i="6"/>
  <c r="X83" i="6"/>
  <c r="Q114" i="7"/>
  <c r="Q84" i="7"/>
  <c r="Q83" i="7"/>
  <c r="M114" i="8"/>
  <c r="M83" i="8"/>
  <c r="M84" i="8"/>
  <c r="CD114" i="8"/>
  <c r="CD84" i="8"/>
  <c r="CD83" i="8"/>
  <c r="CM114" i="6"/>
  <c r="CM83" i="6"/>
  <c r="CM84" i="6"/>
  <c r="GL114" i="6"/>
  <c r="GL83" i="6"/>
  <c r="GL84" i="6"/>
  <c r="CU90" i="8"/>
  <c r="CU91" i="8"/>
  <c r="AD114" i="8"/>
  <c r="AD84" i="8"/>
  <c r="AD83" i="8"/>
  <c r="AT90" i="6"/>
  <c r="AT91" i="6"/>
  <c r="S114" i="6"/>
  <c r="S83" i="6"/>
  <c r="S84" i="6"/>
  <c r="AK114" i="7"/>
  <c r="AK84" i="7"/>
  <c r="AK83" i="7"/>
  <c r="BU114" i="7"/>
  <c r="BU83" i="7"/>
  <c r="BU84" i="7"/>
  <c r="AP114" i="8"/>
  <c r="AP83" i="8"/>
  <c r="AP84" i="8"/>
  <c r="N90" i="7"/>
  <c r="P84" i="6"/>
</calcChain>
</file>

<file path=xl/comments1.xml><?xml version="1.0" encoding="utf-8"?>
<comments xmlns="http://schemas.openxmlformats.org/spreadsheetml/2006/main">
  <authors>
    <author>作者</author>
  </authors>
  <commentList>
    <comment ref="D2" authorId="0" shapeId="0">
      <text>
        <r>
          <rPr>
            <b/>
            <sz val="8"/>
            <color indexed="81"/>
            <rFont val="Tahoma"/>
            <family val="2"/>
          </rPr>
          <t>Change name: to CBS Canterbury</t>
        </r>
      </text>
    </comment>
    <comment ref="AN2" authorId="0" shapeId="0">
      <text>
        <r>
          <rPr>
            <b/>
            <sz val="8"/>
            <color indexed="81"/>
            <rFont val="Tahoma"/>
            <family val="2"/>
          </rPr>
          <t>6 mths result</t>
        </r>
      </text>
    </comment>
    <comment ref="DD7" authorId="0" shapeId="0">
      <text>
        <r>
          <rPr>
            <b/>
            <sz val="8"/>
            <color indexed="81"/>
            <rFont val="Tahoma"/>
            <family val="2"/>
          </rPr>
          <t>mainly hire purchase</t>
        </r>
      </text>
    </comment>
    <comment ref="FN7" authorId="0" shapeId="0">
      <text>
        <r>
          <rPr>
            <b/>
            <sz val="8"/>
            <color indexed="81"/>
            <rFont val="Tahoma"/>
            <family val="2"/>
          </rPr>
          <t>all from two related companies:
Fletcher Building Ltd
Fletcher Building(AU) Pty Ltd</t>
        </r>
      </text>
    </comment>
    <comment ref="BY13" authorId="0" shapeId="0">
      <text>
        <r>
          <rPr>
            <b/>
            <sz val="8"/>
            <color indexed="81"/>
            <rFont val="Tahoma"/>
            <family val="2"/>
          </rPr>
          <t>Rental and lease income</t>
        </r>
      </text>
    </comment>
    <comment ref="GD13" authorId="0" shapeId="0">
      <text>
        <r>
          <rPr>
            <b/>
            <sz val="8"/>
            <color indexed="81"/>
            <rFont val="Tahoma"/>
            <family val="2"/>
          </rPr>
          <t>mainly Loan administration income</t>
        </r>
      </text>
    </comment>
    <comment ref="GH13" authorId="0" shapeId="0">
      <text>
        <r>
          <rPr>
            <b/>
            <sz val="8"/>
            <color indexed="81"/>
            <rFont val="Tahoma"/>
            <family val="2"/>
          </rPr>
          <t>mainly leasing income</t>
        </r>
      </text>
    </comment>
    <comment ref="DO16" authorId="0" shapeId="0">
      <text>
        <r>
          <rPr>
            <b/>
            <sz val="8"/>
            <color indexed="81"/>
            <rFont val="Tahoma"/>
            <family val="2"/>
          </rPr>
          <t xml:space="preserve">there is a mistake in prospectus
the statement and footnotes are different
</t>
        </r>
      </text>
    </comment>
    <comment ref="FZ17" authorId="0" shapeId="0">
      <text>
        <r>
          <rPr>
            <b/>
            <sz val="8"/>
            <color indexed="81"/>
            <rFont val="Tahoma"/>
            <family val="2"/>
          </rPr>
          <t>Including in doubtful debt expense</t>
        </r>
      </text>
    </comment>
    <comment ref="BC18" authorId="0" shapeId="0">
      <text>
        <r>
          <rPr>
            <b/>
            <sz val="8"/>
            <color indexed="81"/>
            <rFont val="Tahoma"/>
            <family val="2"/>
          </rPr>
          <t>mainly depreciation of leased vehicles</t>
        </r>
      </text>
    </comment>
    <comment ref="GD18" authorId="0" shapeId="0">
      <text>
        <r>
          <rPr>
            <b/>
            <sz val="8"/>
            <color indexed="81"/>
            <rFont val="Tahoma"/>
            <family val="2"/>
          </rPr>
          <t>Brokers' fee and commission paid</t>
        </r>
      </text>
    </comment>
    <comment ref="DD23" authorId="0" shapeId="0">
      <text>
        <r>
          <rPr>
            <b/>
            <sz val="8"/>
            <color indexed="81"/>
            <rFont val="Tahoma"/>
            <family val="2"/>
          </rPr>
          <t>surplus for the year is rebated to the Dealer's current account, the company record no assessable income, so there is no tax.</t>
        </r>
      </text>
    </comment>
    <comment ref="BD28" authorId="0" shapeId="0">
      <text>
        <r>
          <rPr>
            <b/>
            <sz val="8"/>
            <color indexed="81"/>
            <rFont val="Tahoma"/>
            <family val="2"/>
          </rPr>
          <t>including dealer floor plan</t>
        </r>
      </text>
    </comment>
    <comment ref="FN28" authorId="0" shapeId="0">
      <text>
        <r>
          <rPr>
            <b/>
            <sz val="8"/>
            <color indexed="81"/>
            <rFont val="Tahoma"/>
            <family val="2"/>
          </rPr>
          <t>owing by related companies</t>
        </r>
      </text>
    </comment>
    <comment ref="FR28" authorId="0" shapeId="0">
      <text>
        <r>
          <rPr>
            <b/>
            <sz val="8"/>
            <color indexed="81"/>
            <rFont val="Tahoma"/>
            <family val="2"/>
          </rPr>
          <t>Rental receivables</t>
        </r>
      </text>
    </comment>
    <comment ref="GD29" authorId="0" shapeId="0">
      <text>
        <r>
          <rPr>
            <b/>
            <sz val="8"/>
            <color indexed="81"/>
            <rFont val="Tahoma"/>
            <family val="2"/>
          </rPr>
          <t>mainly fixed assets: Land, building</t>
        </r>
      </text>
    </comment>
    <comment ref="BD33" authorId="0" shapeId="0">
      <text>
        <r>
          <rPr>
            <b/>
            <sz val="8"/>
            <color indexed="81"/>
            <rFont val="Tahoma"/>
            <family val="2"/>
          </rPr>
          <t>from parent company</t>
        </r>
      </text>
    </comment>
    <comment ref="GD33" authorId="0" shapeId="0">
      <text>
        <r>
          <rPr>
            <b/>
            <sz val="8"/>
            <color indexed="81"/>
            <rFont val="Tahoma"/>
            <family val="2"/>
          </rPr>
          <t>Loan from Cairns Lockie</t>
        </r>
      </text>
    </comment>
    <comment ref="GP33" authorId="0" shapeId="0">
      <text>
        <r>
          <rPr>
            <b/>
            <sz val="8"/>
            <color indexed="81"/>
            <rFont val="Tahoma"/>
            <family val="2"/>
          </rPr>
          <t>including in N/current item</t>
        </r>
      </text>
    </comment>
    <comment ref="BD34" authorId="0" shapeId="0">
      <text>
        <r>
          <rPr>
            <b/>
            <sz val="8"/>
            <color indexed="81"/>
            <rFont val="Tahoma"/>
            <family val="2"/>
          </rPr>
          <t>from Parent company</t>
        </r>
      </text>
    </comment>
    <comment ref="GD34" authorId="0" shapeId="0">
      <text>
        <r>
          <rPr>
            <b/>
            <sz val="8"/>
            <color indexed="81"/>
            <rFont val="Tahoma"/>
            <family val="2"/>
          </rPr>
          <t>from Cairns Lockie Ltd and Bank of New Zealand</t>
        </r>
      </text>
    </comment>
    <comment ref="GH34" authorId="0" shapeId="0">
      <text>
        <r>
          <rPr>
            <b/>
            <sz val="8"/>
            <color indexed="81"/>
            <rFont val="Tahoma"/>
            <family val="2"/>
          </rPr>
          <t>including current and non current</t>
        </r>
      </text>
    </comment>
    <comment ref="GP34" authorId="0" shapeId="0">
      <text>
        <r>
          <rPr>
            <b/>
            <sz val="8"/>
            <color indexed="81"/>
            <rFont val="Tahoma"/>
            <family val="2"/>
          </rPr>
          <t xml:space="preserve">all borrowed from related parties
</t>
        </r>
      </text>
    </comment>
    <comment ref="AR54" authorId="0" shapeId="0">
      <text>
        <r>
          <rPr>
            <b/>
            <sz val="8"/>
            <color indexed="81"/>
            <rFont val="Tahoma"/>
            <family val="2"/>
          </rPr>
          <t>management fee</t>
        </r>
      </text>
    </comment>
    <comment ref="BG54" authorId="0" shapeId="0">
      <text>
        <r>
          <rPr>
            <b/>
            <sz val="8"/>
            <color indexed="81"/>
            <rFont val="Tahoma"/>
            <family val="2"/>
          </rPr>
          <t xml:space="preserve">Various related party transactions 
</t>
        </r>
      </text>
    </comment>
    <comment ref="GH54" authorId="0" shapeId="0">
      <text>
        <r>
          <rPr>
            <b/>
            <sz val="8"/>
            <color indexed="81"/>
            <rFont val="Tahoma"/>
            <family val="2"/>
          </rPr>
          <t xml:space="preserve">with Holden NZ Ltd
</t>
        </r>
      </text>
    </comment>
    <comment ref="GD55" authorId="0" shapeId="0">
      <text>
        <r>
          <rPr>
            <b/>
            <sz val="8"/>
            <color indexed="81"/>
            <rFont val="Tahoma"/>
            <family val="2"/>
          </rPr>
          <t>management fee to parent company</t>
        </r>
      </text>
    </comment>
    <comment ref="GP55" authorId="0" shapeId="0">
      <text>
        <r>
          <rPr>
            <b/>
            <sz val="8"/>
            <color indexed="81"/>
            <rFont val="Tahoma"/>
            <family val="2"/>
          </rPr>
          <t>interest</t>
        </r>
      </text>
    </comment>
    <comment ref="AH56" authorId="0" shapeId="0">
      <text>
        <r>
          <rPr>
            <b/>
            <sz val="8"/>
            <color indexed="81"/>
            <rFont val="Tahoma"/>
            <family val="2"/>
          </rPr>
          <t>作者:</t>
        </r>
        <r>
          <rPr>
            <sz val="8"/>
            <color indexed="81"/>
            <rFont val="Tahoma"/>
            <family val="2"/>
          </rPr>
          <t xml:space="preserve">
Interest free
to Kipling Partners Ltd
Mr Darryl Queen is director</t>
        </r>
      </text>
    </comment>
    <comment ref="DH56" authorId="0" shapeId="0">
      <text>
        <r>
          <rPr>
            <b/>
            <sz val="8"/>
            <color indexed="81"/>
            <rFont val="Tahoma"/>
            <family val="2"/>
          </rPr>
          <t xml:space="preserve">loan cos Trustee
</t>
        </r>
      </text>
    </comment>
    <comment ref="FV56" authorId="0" shapeId="0">
      <text>
        <r>
          <rPr>
            <b/>
            <sz val="8"/>
            <color indexed="81"/>
            <rFont val="Tahoma"/>
            <family val="2"/>
          </rPr>
          <t>loan from Focus Capital Group Ltd (AU)</t>
        </r>
      </text>
    </comment>
    <comment ref="HB56" authorId="0" shapeId="0">
      <text>
        <r>
          <rPr>
            <b/>
            <sz val="8"/>
            <color indexed="81"/>
            <rFont val="Tahoma"/>
            <family val="2"/>
          </rPr>
          <t>from Burns Philp NZ Ltd</t>
        </r>
      </text>
    </comment>
    <comment ref="FV57" authorId="0" shapeId="0">
      <text>
        <r>
          <rPr>
            <b/>
            <sz val="8"/>
            <color indexed="81"/>
            <rFont val="Tahoma"/>
            <family val="2"/>
          </rPr>
          <t>due from parent company
due from Focus Residual Capital Ltd</t>
        </r>
      </text>
    </comment>
    <comment ref="HB57" authorId="0" shapeId="0">
      <text>
        <r>
          <rPr>
            <b/>
            <sz val="8"/>
            <color indexed="81"/>
            <rFont val="Tahoma"/>
            <family val="2"/>
          </rPr>
          <t>to GF Finance Ltd</t>
        </r>
      </text>
    </comment>
    <comment ref="HC57" authorId="0" shapeId="0">
      <text>
        <r>
          <rPr>
            <b/>
            <sz val="8"/>
            <color indexed="81"/>
            <rFont val="Tahoma"/>
            <family val="2"/>
          </rPr>
          <t xml:space="preserve">to BPC1 Pty Ltd
</t>
        </r>
      </text>
    </comment>
    <comment ref="B115" authorId="0" shapeId="0">
      <text>
        <r>
          <rPr>
            <b/>
            <sz val="8"/>
            <color indexed="81"/>
            <rFont val="Tahoma"/>
            <family val="2"/>
          </rPr>
          <t>作者:</t>
        </r>
        <r>
          <rPr>
            <sz val="8"/>
            <color indexed="81"/>
            <rFont val="Tahoma"/>
            <family val="2"/>
          </rPr>
          <t xml:space="preserve">
Impaired asset expense corresponds to bad debt expense</t>
        </r>
      </text>
    </comment>
  </commentList>
</comments>
</file>

<file path=xl/comments2.xml><?xml version="1.0" encoding="utf-8"?>
<comments xmlns="http://schemas.openxmlformats.org/spreadsheetml/2006/main">
  <authors>
    <author>作者</author>
  </authors>
  <commentList>
    <comment ref="V4" authorId="0" shapeId="0">
      <text>
        <r>
          <rPr>
            <b/>
            <sz val="8"/>
            <color indexed="81"/>
            <rFont val="Tahoma"/>
            <family val="2"/>
          </rPr>
          <t xml:space="preserve">four months period
</t>
        </r>
      </text>
    </comment>
    <comment ref="CC13" authorId="0" shapeId="0">
      <text>
        <r>
          <rPr>
            <b/>
            <sz val="8"/>
            <color indexed="81"/>
            <rFont val="Tahoma"/>
            <family val="2"/>
          </rPr>
          <t>mainly gain on sale of investments</t>
        </r>
      </text>
    </comment>
    <comment ref="Y28" authorId="0" shapeId="0">
      <text>
        <r>
          <rPr>
            <b/>
            <sz val="8"/>
            <color indexed="81"/>
            <rFont val="Tahoma"/>
            <family val="2"/>
          </rPr>
          <t>including loan to Macquarie equities NZ ltd and Macquaries Bank Ltd</t>
        </r>
      </text>
    </comment>
    <comment ref="CC29" authorId="0" shapeId="0">
      <text>
        <r>
          <rPr>
            <b/>
            <sz val="8"/>
            <color indexed="81"/>
            <rFont val="Tahoma"/>
            <family val="2"/>
          </rPr>
          <t>Lease income generating assets</t>
        </r>
      </text>
    </comment>
    <comment ref="M33" authorId="0" shapeId="0">
      <text>
        <r>
          <rPr>
            <b/>
            <sz val="8"/>
            <color indexed="81"/>
            <rFont val="Tahoma"/>
            <family val="2"/>
          </rPr>
          <t>including in the n/current item</t>
        </r>
      </text>
    </comment>
    <comment ref="AO33" authorId="0" shapeId="0">
      <text>
        <r>
          <rPr>
            <b/>
            <sz val="8"/>
            <color indexed="81"/>
            <rFont val="Tahoma"/>
            <family val="2"/>
          </rPr>
          <t>including Redeemable shares</t>
        </r>
      </text>
    </comment>
    <comment ref="M34" authorId="0" shapeId="0">
      <text>
        <r>
          <rPr>
            <b/>
            <sz val="8"/>
            <color indexed="81"/>
            <rFont val="Tahoma"/>
            <family val="2"/>
          </rPr>
          <t>all from related parties</t>
        </r>
      </text>
    </comment>
    <comment ref="R54" authorId="0" shapeId="0">
      <text>
        <r>
          <rPr>
            <b/>
            <sz val="8"/>
            <color indexed="81"/>
            <rFont val="Tahoma"/>
            <family val="2"/>
          </rPr>
          <t>interest paid by Loan properties Ltd</t>
        </r>
      </text>
    </comment>
    <comment ref="Q55" authorId="0" shapeId="0">
      <text>
        <r>
          <rPr>
            <b/>
            <sz val="8"/>
            <color indexed="81"/>
            <rFont val="Tahoma"/>
            <family val="2"/>
          </rPr>
          <t xml:space="preserve">Rent and interest paid to Loan Properties Ltd
</t>
        </r>
      </text>
    </comment>
    <comment ref="Q56" authorId="0" shapeId="0">
      <text>
        <r>
          <rPr>
            <b/>
            <sz val="8"/>
            <color indexed="81"/>
            <rFont val="Tahoma"/>
            <family val="2"/>
          </rPr>
          <t xml:space="preserve">Owed to Loan Properties Ltd
</t>
        </r>
      </text>
    </comment>
    <comment ref="CC56" authorId="0" shapeId="0">
      <text>
        <r>
          <rPr>
            <b/>
            <sz val="8"/>
            <color indexed="81"/>
            <rFont val="Tahoma"/>
            <family val="2"/>
          </rPr>
          <t>Loan from Capital + Merchant Finance Ltd
two companies have same directors</t>
        </r>
      </text>
    </comment>
    <comment ref="Q57" authorId="0" shapeId="0">
      <text>
        <r>
          <rPr>
            <b/>
            <sz val="8"/>
            <color indexed="81"/>
            <rFont val="Tahoma"/>
            <family val="2"/>
          </rPr>
          <t>Owed by Loan properties Ltd</t>
        </r>
      </text>
    </comment>
    <comment ref="CC57" authorId="0" shapeId="0">
      <text>
        <r>
          <rPr>
            <b/>
            <sz val="8"/>
            <color indexed="81"/>
            <rFont val="Tahoma"/>
            <family val="2"/>
          </rPr>
          <t xml:space="preserve">Loan to Numeria Leasing Ltd
</t>
        </r>
      </text>
    </comment>
    <comment ref="I65" authorId="0" shapeId="0">
      <text>
        <r>
          <rPr>
            <b/>
            <sz val="8"/>
            <color indexed="81"/>
            <rFont val="Tahoma"/>
            <family val="2"/>
          </rPr>
          <t>one of exposure is in 1370%-1380%</t>
        </r>
      </text>
    </comment>
    <comment ref="CC76" authorId="0" shapeId="0">
      <text>
        <r>
          <rPr>
            <b/>
            <sz val="8"/>
            <color indexed="81"/>
            <rFont val="Tahoma"/>
            <family val="2"/>
          </rPr>
          <t>He is former Advantage ceo</t>
        </r>
      </text>
    </comment>
    <comment ref="B115" authorId="0" shapeId="0">
      <text>
        <r>
          <rPr>
            <b/>
            <sz val="8"/>
            <color indexed="81"/>
            <rFont val="Tahoma"/>
            <family val="2"/>
          </rPr>
          <t>作者:</t>
        </r>
        <r>
          <rPr>
            <sz val="8"/>
            <color indexed="81"/>
            <rFont val="Tahoma"/>
            <family val="2"/>
          </rPr>
          <t xml:space="preserve">
Impaired asset expense corresponds to bad debt expense</t>
        </r>
      </text>
    </comment>
  </commentList>
</comments>
</file>

<file path=xl/comments3.xml><?xml version="1.0" encoding="utf-8"?>
<comments xmlns="http://schemas.openxmlformats.org/spreadsheetml/2006/main">
  <authors>
    <author>作者</author>
  </authors>
  <commentList>
    <comment ref="I2" authorId="0" shapeId="0">
      <text>
        <r>
          <rPr>
            <b/>
            <sz val="8"/>
            <color indexed="81"/>
            <rFont val="Tahoma"/>
            <family val="2"/>
          </rPr>
          <t>another name:
Mission Contact Finance Ltd</t>
        </r>
      </text>
    </comment>
    <comment ref="AJ2" authorId="0" shapeId="0">
      <text>
        <r>
          <rPr>
            <b/>
            <sz val="8"/>
            <color indexed="81"/>
            <rFont val="Tahoma"/>
            <family val="2"/>
          </rPr>
          <t>just issue debt, have not really start to operate</t>
        </r>
      </text>
    </comment>
    <comment ref="BF2" authorId="0" shapeId="0">
      <text>
        <r>
          <rPr>
            <b/>
            <sz val="8"/>
            <color indexed="81"/>
            <rFont val="Tahoma"/>
            <family val="2"/>
          </rPr>
          <t>just start in 2004, no financial data</t>
        </r>
      </text>
    </comment>
    <comment ref="CH2" authorId="0" shapeId="0">
      <text>
        <r>
          <rPr>
            <b/>
            <sz val="8"/>
            <color indexed="81"/>
            <rFont val="Tahoma"/>
            <family val="2"/>
          </rPr>
          <t>started from 18 May 2004, no financial data
issue 20 million debenture stock on 26 July 2004
two directors are Chinese</t>
        </r>
      </text>
    </comment>
    <comment ref="CZ2" authorId="0" shapeId="0">
      <text>
        <r>
          <rPr>
            <b/>
            <sz val="8"/>
            <color indexed="81"/>
            <rFont val="Tahoma"/>
            <family val="2"/>
          </rPr>
          <t>have not really started to operate</t>
        </r>
      </text>
    </comment>
    <comment ref="DF2" authorId="0" shapeId="0">
      <text>
        <r>
          <rPr>
            <b/>
            <sz val="8"/>
            <color indexed="81"/>
            <rFont val="Tahoma"/>
            <family val="2"/>
          </rPr>
          <t>good disclosure</t>
        </r>
      </text>
    </comment>
    <comment ref="E4" authorId="0" shapeId="0">
      <text>
        <r>
          <rPr>
            <b/>
            <sz val="8"/>
            <color indexed="81"/>
            <rFont val="Tahoma"/>
            <family val="2"/>
          </rPr>
          <t>8 Months only</t>
        </r>
      </text>
    </comment>
    <comment ref="AD4" authorId="0" shapeId="0">
      <text>
        <r>
          <rPr>
            <b/>
            <sz val="8"/>
            <color indexed="81"/>
            <rFont val="Tahoma"/>
            <family val="2"/>
          </rPr>
          <t>Parent data</t>
        </r>
      </text>
    </comment>
    <comment ref="M7" authorId="0" shapeId="0">
      <text>
        <r>
          <rPr>
            <b/>
            <sz val="8"/>
            <color indexed="81"/>
            <rFont val="Tahoma"/>
            <family val="2"/>
          </rPr>
          <t>including operating Lease income:</t>
        </r>
        <r>
          <rPr>
            <sz val="8"/>
            <color indexed="81"/>
            <rFont val="Tahoma"/>
            <family val="2"/>
          </rPr>
          <t xml:space="preserve">
</t>
        </r>
      </text>
    </comment>
    <comment ref="I13" authorId="0" shapeId="0">
      <text>
        <r>
          <rPr>
            <b/>
            <sz val="8"/>
            <color indexed="81"/>
            <rFont val="Tahoma"/>
            <family val="2"/>
          </rPr>
          <t>dividend income from Redeemable Preference Shares (RPS)</t>
        </r>
      </text>
    </comment>
    <comment ref="CD13" authorId="0" shapeId="0">
      <text>
        <r>
          <rPr>
            <b/>
            <sz val="8"/>
            <color indexed="81"/>
            <rFont val="Tahoma"/>
            <family val="2"/>
          </rPr>
          <t>Mainly from Lease</t>
        </r>
      </text>
    </comment>
    <comment ref="CT13" authorId="0" shapeId="0">
      <text>
        <r>
          <rPr>
            <b/>
            <sz val="8"/>
            <color indexed="81"/>
            <rFont val="Tahoma"/>
            <family val="2"/>
          </rPr>
          <t>mainly sales by trading division</t>
        </r>
      </text>
    </comment>
    <comment ref="DU13" authorId="0" shapeId="0">
      <text>
        <r>
          <rPr>
            <b/>
            <sz val="8"/>
            <color indexed="81"/>
            <rFont val="Tahoma"/>
            <family val="2"/>
          </rPr>
          <t xml:space="preserve">mainly operating lease
</t>
        </r>
        <r>
          <rPr>
            <sz val="8"/>
            <color indexed="81"/>
            <rFont val="Tahoma"/>
            <family val="2"/>
          </rPr>
          <t xml:space="preserve">
</t>
        </r>
      </text>
    </comment>
    <comment ref="DU17" authorId="0" shapeId="0">
      <text>
        <r>
          <rPr>
            <b/>
            <sz val="8"/>
            <color indexed="81"/>
            <rFont val="Tahoma"/>
            <family val="2"/>
          </rPr>
          <t>Net write off</t>
        </r>
      </text>
    </comment>
    <comment ref="I18" authorId="0" shapeId="0">
      <text>
        <r>
          <rPr>
            <b/>
            <sz val="8"/>
            <color indexed="81"/>
            <rFont val="Tahoma"/>
            <family val="2"/>
          </rPr>
          <t xml:space="preserve">dividend expense
</t>
        </r>
      </text>
    </comment>
    <comment ref="CT18" authorId="0" shapeId="0">
      <text>
        <r>
          <rPr>
            <b/>
            <sz val="8"/>
            <color indexed="81"/>
            <rFont val="Tahoma"/>
            <family val="2"/>
          </rPr>
          <t>mainly trading expense</t>
        </r>
        <r>
          <rPr>
            <sz val="8"/>
            <color indexed="81"/>
            <rFont val="Tahoma"/>
            <family val="2"/>
          </rPr>
          <t xml:space="preserve">
</t>
        </r>
      </text>
    </comment>
    <comment ref="R28" authorId="0" shapeId="0">
      <text>
        <r>
          <rPr>
            <b/>
            <sz val="8"/>
            <color indexed="81"/>
            <rFont val="Tahoma"/>
            <family val="2"/>
          </rPr>
          <t>including Hire Purchase, Leasing advances, Mortgage and dealer flooer plan</t>
        </r>
      </text>
    </comment>
    <comment ref="BJ28" authorId="0" shapeId="0">
      <text>
        <r>
          <rPr>
            <b/>
            <sz val="8"/>
            <color indexed="81"/>
            <rFont val="Tahoma"/>
            <family val="2"/>
          </rPr>
          <t>including Investment 
 in Hone Loan Bonds issue by Sapphire 2002-2 series Trust, which is an Au based securitisation entity that owns a portfolio of residential mortgage in AU</t>
        </r>
      </text>
    </comment>
    <comment ref="I29" authorId="0" shapeId="0">
      <text>
        <r>
          <rPr>
            <b/>
            <sz val="8"/>
            <color indexed="81"/>
            <rFont val="Tahoma"/>
            <family val="2"/>
          </rPr>
          <t>mainly redeemable preference shares</t>
        </r>
      </text>
    </comment>
    <comment ref="CY29" authorId="0" shapeId="0">
      <text>
        <r>
          <rPr>
            <b/>
            <sz val="8"/>
            <color indexed="81"/>
            <rFont val="Tahoma"/>
            <family val="2"/>
          </rPr>
          <t>mainly investment</t>
        </r>
      </text>
    </comment>
    <comment ref="DU33" authorId="0" shapeId="0">
      <text>
        <r>
          <rPr>
            <b/>
            <sz val="8"/>
            <color indexed="81"/>
            <rFont val="Tahoma"/>
            <family val="2"/>
          </rPr>
          <t>from money market, commercial paper and term notes</t>
        </r>
      </text>
    </comment>
    <comment ref="I35" authorId="0" shapeId="0">
      <text>
        <r>
          <rPr>
            <b/>
            <sz val="8"/>
            <color indexed="81"/>
            <rFont val="Tahoma"/>
            <family val="2"/>
          </rPr>
          <t>mainly redeemable preference shares</t>
        </r>
      </text>
    </comment>
    <comment ref="BJ53" authorId="0" shapeId="0">
      <text>
        <r>
          <rPr>
            <b/>
            <sz val="8"/>
            <color indexed="81"/>
            <rFont val="Tahoma"/>
            <family val="2"/>
          </rPr>
          <t>related companies:
Bluestone Group Pty Ltd and various subsidaries</t>
        </r>
      </text>
    </comment>
    <comment ref="CY53" authorId="0" shapeId="0">
      <text>
        <r>
          <rPr>
            <b/>
            <sz val="8"/>
            <color indexed="81"/>
            <rFont val="Tahoma"/>
            <family val="2"/>
          </rPr>
          <t xml:space="preserve">complex related company transactions
</t>
        </r>
      </text>
    </comment>
    <comment ref="V54" authorId="0" shapeId="0">
      <text>
        <r>
          <rPr>
            <b/>
            <sz val="8"/>
            <color indexed="81"/>
            <rFont val="Tahoma"/>
            <family val="2"/>
          </rPr>
          <t>fee from PRSL</t>
        </r>
      </text>
    </comment>
    <comment ref="Z54" authorId="0" shapeId="0">
      <text>
        <r>
          <rPr>
            <b/>
            <sz val="8"/>
            <color indexed="81"/>
            <rFont val="Tahoma"/>
            <family val="2"/>
          </rPr>
          <t>interest from Parent</t>
        </r>
        <r>
          <rPr>
            <sz val="8"/>
            <color indexed="81"/>
            <rFont val="Tahoma"/>
            <family val="2"/>
          </rPr>
          <t xml:space="preserve">
</t>
        </r>
      </text>
    </comment>
    <comment ref="DG54" authorId="0" shapeId="0">
      <text>
        <r>
          <rPr>
            <b/>
            <sz val="8"/>
            <color indexed="81"/>
            <rFont val="Tahoma"/>
            <family val="2"/>
          </rPr>
          <t xml:space="preserve">interest paid by related parties
</t>
        </r>
      </text>
    </comment>
    <comment ref="DJ54" authorId="0" shapeId="0">
      <text>
        <r>
          <rPr>
            <b/>
            <sz val="8"/>
            <color indexed="81"/>
            <rFont val="Tahoma"/>
            <family val="2"/>
          </rPr>
          <t>intercompany interest income</t>
        </r>
      </text>
    </comment>
    <comment ref="DQ54" authorId="0" shapeId="0">
      <text>
        <r>
          <rPr>
            <b/>
            <sz val="8"/>
            <color indexed="81"/>
            <rFont val="Tahoma"/>
            <family val="2"/>
          </rPr>
          <t>sold to Eftpos Specialists (Otago), (Auckland), (wellington) Ltd</t>
        </r>
        <r>
          <rPr>
            <sz val="8"/>
            <color indexed="81"/>
            <rFont val="Tahoma"/>
            <family val="2"/>
          </rPr>
          <t xml:space="preserve">
</t>
        </r>
      </text>
    </comment>
    <comment ref="DU54" authorId="0" shapeId="0">
      <text>
        <r>
          <rPr>
            <b/>
            <sz val="8"/>
            <color indexed="81"/>
            <rFont val="Tahoma"/>
            <family val="2"/>
          </rPr>
          <t>Interest from toyota NZ</t>
        </r>
        <r>
          <rPr>
            <sz val="8"/>
            <color indexed="81"/>
            <rFont val="Tahoma"/>
            <family val="2"/>
          </rPr>
          <t xml:space="preserve">
</t>
        </r>
      </text>
    </comment>
    <comment ref="V55" authorId="0" shapeId="0">
      <text>
        <r>
          <rPr>
            <b/>
            <sz val="8"/>
            <color indexed="81"/>
            <rFont val="Tahoma"/>
            <family val="2"/>
          </rPr>
          <t>sevice fee to PRSL</t>
        </r>
      </text>
    </comment>
    <comment ref="Z55" authorId="0" shapeId="0">
      <text>
        <r>
          <rPr>
            <b/>
            <sz val="8"/>
            <color indexed="81"/>
            <rFont val="Tahoma"/>
            <family val="2"/>
          </rPr>
          <t xml:space="preserve">Interest to Parent
</t>
        </r>
      </text>
    </comment>
    <comment ref="AH55" authorId="0" shapeId="0">
      <text>
        <r>
          <rPr>
            <b/>
            <sz val="8"/>
            <color indexed="81"/>
            <rFont val="Tahoma"/>
            <family val="2"/>
          </rPr>
          <t xml:space="preserve">Fee were paid to Ford Motor Company of New Zealand for Provision of vehicles and general service
</t>
        </r>
        <r>
          <rPr>
            <sz val="8"/>
            <color indexed="81"/>
            <rFont val="Tahoma"/>
            <family val="2"/>
          </rPr>
          <t xml:space="preserve">
</t>
        </r>
      </text>
    </comment>
    <comment ref="AP55" authorId="0" shapeId="0">
      <text>
        <r>
          <rPr>
            <b/>
            <sz val="8"/>
            <color indexed="81"/>
            <rFont val="Tahoma"/>
            <family val="2"/>
          </rPr>
          <t>management fee to Avon:</t>
        </r>
        <r>
          <rPr>
            <sz val="8"/>
            <color indexed="81"/>
            <rFont val="Tahoma"/>
            <family val="2"/>
          </rPr>
          <t xml:space="preserve">
</t>
        </r>
      </text>
    </comment>
    <comment ref="BB55" authorId="0" shapeId="0">
      <text>
        <r>
          <rPr>
            <b/>
            <sz val="8"/>
            <color indexed="81"/>
            <rFont val="Tahoma"/>
            <family val="2"/>
          </rPr>
          <t>management fee</t>
        </r>
      </text>
    </comment>
    <comment ref="DG55" authorId="0" shapeId="0">
      <text>
        <r>
          <rPr>
            <b/>
            <sz val="8"/>
            <color indexed="81"/>
            <rFont val="Tahoma"/>
            <family val="2"/>
          </rPr>
          <t>作者:</t>
        </r>
        <r>
          <rPr>
            <b/>
            <sz val="8"/>
            <color indexed="81"/>
            <rFont val="Tahoma"/>
            <family val="2"/>
          </rPr>
          <t xml:space="preserve">
</t>
        </r>
      </text>
    </comment>
    <comment ref="DJ55" authorId="0" shapeId="0">
      <text>
        <r>
          <rPr>
            <b/>
            <sz val="8"/>
            <color indexed="81"/>
            <rFont val="Tahoma"/>
            <family val="2"/>
          </rPr>
          <t xml:space="preserve">intercompany interest expense
</t>
        </r>
      </text>
    </comment>
    <comment ref="DU55" authorId="0" shapeId="0">
      <text>
        <r>
          <rPr>
            <b/>
            <sz val="8"/>
            <color indexed="81"/>
            <rFont val="Tahoma"/>
            <family val="2"/>
          </rPr>
          <t>purchase of motor vech from Toyota NZ Ltd</t>
        </r>
      </text>
    </comment>
    <comment ref="V56" authorId="0" shapeId="0">
      <text>
        <r>
          <rPr>
            <b/>
            <sz val="8"/>
            <color indexed="81"/>
            <rFont val="Tahoma"/>
            <family val="2"/>
          </rPr>
          <t>seold finance receviable to PRSL</t>
        </r>
      </text>
    </comment>
    <comment ref="Z56" authorId="0" shapeId="0">
      <text>
        <r>
          <rPr>
            <b/>
            <sz val="8"/>
            <color indexed="81"/>
            <rFont val="Tahoma"/>
            <family val="2"/>
          </rPr>
          <t>from Parent company</t>
        </r>
      </text>
    </comment>
    <comment ref="AH56" authorId="0" shapeId="0">
      <text>
        <r>
          <rPr>
            <b/>
            <sz val="8"/>
            <color indexed="81"/>
            <rFont val="Tahoma"/>
            <family val="2"/>
          </rPr>
          <t>borrowed overnight funds from Ford Motor Company of New Zealand and Landrover New Zealand Ltd
funds also provided by Ford Motor Co. NZ &amp; Ford CreditCredit international</t>
        </r>
      </text>
    </comment>
    <comment ref="DM56" authorId="0" shapeId="0">
      <text>
        <r>
          <rPr>
            <b/>
            <sz val="8"/>
            <color indexed="81"/>
            <rFont val="Tahoma"/>
            <family val="2"/>
          </rPr>
          <t>Due to Parent company and fellow subsidiary companies</t>
        </r>
        <r>
          <rPr>
            <sz val="8"/>
            <color indexed="81"/>
            <rFont val="Tahoma"/>
            <family val="2"/>
          </rPr>
          <t xml:space="preserve">
</t>
        </r>
      </text>
    </comment>
    <comment ref="DU56" authorId="0" shapeId="0">
      <text>
        <r>
          <rPr>
            <b/>
            <sz val="8"/>
            <color indexed="81"/>
            <rFont val="Tahoma"/>
            <family val="2"/>
          </rPr>
          <t>Payable to Toyota NZ Ltd</t>
        </r>
      </text>
    </comment>
    <comment ref="V57" authorId="0" shapeId="0">
      <text>
        <r>
          <rPr>
            <b/>
            <sz val="8"/>
            <color indexed="81"/>
            <rFont val="Tahoma"/>
            <family val="2"/>
          </rPr>
          <t>purchased finance receivables from Pacific Retail service Ltd</t>
        </r>
      </text>
    </comment>
    <comment ref="AD57" authorId="0" shapeId="0">
      <text>
        <r>
          <rPr>
            <b/>
            <sz val="8"/>
            <color indexed="81"/>
            <rFont val="Tahoma"/>
            <family val="2"/>
          </rPr>
          <t>To Prime Lease Ltd</t>
        </r>
      </text>
    </comment>
    <comment ref="CT57" authorId="0" shapeId="0">
      <text>
        <r>
          <rPr>
            <b/>
            <sz val="8"/>
            <color indexed="81"/>
            <rFont val="Tahoma"/>
            <family val="2"/>
          </rPr>
          <t>including investment and loan to MMM holding ltd, a car dealer</t>
        </r>
      </text>
    </comment>
    <comment ref="CY57" authorId="0" shapeId="0">
      <text>
        <r>
          <rPr>
            <b/>
            <sz val="8"/>
            <color indexed="81"/>
            <rFont val="Tahoma"/>
            <family val="2"/>
          </rPr>
          <t xml:space="preserve">Loan to associated company
</t>
        </r>
      </text>
    </comment>
    <comment ref="DM57" authorId="0" shapeId="0">
      <text>
        <r>
          <rPr>
            <b/>
            <sz val="8"/>
            <color indexed="81"/>
            <rFont val="Tahoma"/>
            <family val="2"/>
          </rPr>
          <t>due from Parent company and fellow subsidiaries</t>
        </r>
      </text>
    </comment>
    <comment ref="DU57" authorId="0" shapeId="0">
      <text>
        <r>
          <rPr>
            <b/>
            <sz val="8"/>
            <color indexed="81"/>
            <rFont val="Tahoma"/>
            <family val="2"/>
          </rPr>
          <t xml:space="preserve">Loan to Toyota NZ </t>
        </r>
      </text>
    </comment>
    <comment ref="CY58" authorId="0" shapeId="0">
      <text>
        <r>
          <rPr>
            <b/>
            <sz val="8"/>
            <color indexed="81"/>
            <rFont val="Tahoma"/>
            <family val="2"/>
          </rPr>
          <t>Loan to companies that share common directorship</t>
        </r>
      </text>
    </comment>
    <comment ref="DF58" authorId="0" shapeId="0">
      <text>
        <r>
          <rPr>
            <b/>
            <sz val="8"/>
            <color indexed="81"/>
            <rFont val="Tahoma"/>
            <family val="2"/>
          </rPr>
          <t xml:space="preserve">dividend
</t>
        </r>
      </text>
    </comment>
    <comment ref="B115" authorId="0" shapeId="0">
      <text>
        <r>
          <rPr>
            <b/>
            <sz val="8"/>
            <color indexed="81"/>
            <rFont val="Tahoma"/>
            <family val="2"/>
          </rPr>
          <t>作者:</t>
        </r>
        <r>
          <rPr>
            <sz val="8"/>
            <color indexed="81"/>
            <rFont val="Tahoma"/>
            <family val="2"/>
          </rPr>
          <t xml:space="preserve">
Impaired asset expense corresponds to bad debt expense</t>
        </r>
      </text>
    </comment>
  </commentList>
</comments>
</file>

<file path=xl/comments4.xml><?xml version="1.0" encoding="utf-8"?>
<comments xmlns="http://schemas.openxmlformats.org/spreadsheetml/2006/main">
  <authors>
    <author>作者</author>
  </authors>
  <commentList>
    <comment ref="Q2" authorId="0" shapeId="0">
      <text>
        <r>
          <rPr>
            <b/>
            <sz val="8"/>
            <color indexed="81"/>
            <rFont val="Tahoma"/>
            <family val="2"/>
          </rPr>
          <t>data from interest.co.nz
partial information</t>
        </r>
      </text>
    </comment>
    <comment ref="S2" authorId="0" shapeId="0">
      <text>
        <r>
          <rPr>
            <sz val="8"/>
            <color indexed="81"/>
            <rFont val="Tahoma"/>
            <family val="2"/>
          </rPr>
          <t xml:space="preserve">starting trading from april 2004
</t>
        </r>
      </text>
    </comment>
    <comment ref="W13" authorId="0" shapeId="0">
      <text>
        <r>
          <rPr>
            <b/>
            <sz val="8"/>
            <color indexed="81"/>
            <rFont val="Tahoma"/>
            <family val="2"/>
          </rPr>
          <t>Sales</t>
        </r>
      </text>
    </comment>
    <comment ref="AM13" authorId="0" shapeId="0">
      <text>
        <r>
          <rPr>
            <b/>
            <sz val="8"/>
            <color indexed="81"/>
            <rFont val="Tahoma"/>
            <family val="2"/>
          </rPr>
          <t>mainly sales</t>
        </r>
      </text>
    </comment>
    <comment ref="AM18" authorId="0" shapeId="0">
      <text>
        <r>
          <rPr>
            <b/>
            <sz val="8"/>
            <color indexed="81"/>
            <rFont val="Tahoma"/>
            <family val="2"/>
          </rPr>
          <t>mainly staff remuneration commissions</t>
        </r>
      </text>
    </comment>
    <comment ref="M28" authorId="0" shapeId="0">
      <text>
        <r>
          <rPr>
            <b/>
            <sz val="8"/>
            <color indexed="81"/>
            <rFont val="Tahoma"/>
            <family val="2"/>
          </rPr>
          <t>current advance to Forest Lake Gardens Holding Ltd &amp; Forest Lake Gardens Properties Ltd
n/current advance to 247 Wakefield st Devp Ltd</t>
        </r>
      </text>
    </comment>
    <comment ref="U28" authorId="0" shapeId="0">
      <text>
        <r>
          <rPr>
            <b/>
            <sz val="8"/>
            <color indexed="81"/>
            <rFont val="Tahoma"/>
            <family val="2"/>
          </rPr>
          <t xml:space="preserve">advance to VTL Group Ltd
</t>
        </r>
      </text>
    </comment>
    <comment ref="I29" authorId="0" shapeId="0">
      <text>
        <r>
          <rPr>
            <b/>
            <sz val="8"/>
            <color indexed="81"/>
            <rFont val="Tahoma"/>
            <family val="2"/>
          </rPr>
          <t>mainly investment in subsidiaries</t>
        </r>
      </text>
    </comment>
    <comment ref="M29" authorId="0" shapeId="0">
      <text>
        <r>
          <rPr>
            <b/>
            <sz val="8"/>
            <color indexed="81"/>
            <rFont val="Tahoma"/>
            <family val="2"/>
          </rPr>
          <t>VSL made an investment in Secured debenture stock of Vision Senior Living ltd totaling 1,120,000</t>
        </r>
      </text>
    </comment>
    <comment ref="I33" authorId="0" shapeId="0">
      <text>
        <r>
          <rPr>
            <b/>
            <sz val="8"/>
            <color indexed="81"/>
            <rFont val="Tahoma"/>
            <family val="2"/>
          </rPr>
          <t>Loan from Capital Lease Ltd and arrow international Ltd</t>
        </r>
      </text>
    </comment>
    <comment ref="Q33" authorId="0" shapeId="0">
      <text>
        <r>
          <rPr>
            <b/>
            <sz val="8"/>
            <color indexed="81"/>
            <rFont val="Tahoma"/>
            <family val="2"/>
          </rPr>
          <t>including in N/current items</t>
        </r>
      </text>
    </comment>
    <comment ref="AA36" authorId="0" shapeId="0">
      <text>
        <r>
          <rPr>
            <b/>
            <sz val="8"/>
            <color indexed="81"/>
            <rFont val="Tahoma"/>
            <family val="2"/>
          </rPr>
          <t>Reserves</t>
        </r>
      </text>
    </comment>
    <comment ref="I54" authorId="0" shapeId="0">
      <text>
        <r>
          <rPr>
            <b/>
            <sz val="8"/>
            <color indexed="81"/>
            <rFont val="Tahoma"/>
            <family val="2"/>
          </rPr>
          <t>various transcations, details see below</t>
        </r>
      </text>
    </comment>
    <comment ref="AM54" authorId="0" shapeId="0">
      <text>
        <r>
          <rPr>
            <b/>
            <sz val="8"/>
            <color indexed="81"/>
            <rFont val="Tahoma"/>
            <family val="2"/>
          </rPr>
          <t xml:space="preserve">management fee from NZ Rural property trust
management fee from Rual Equities ltd
</t>
        </r>
      </text>
    </comment>
    <comment ref="AQ56" authorId="0" shapeId="0">
      <text>
        <r>
          <rPr>
            <b/>
            <sz val="8"/>
            <color indexed="81"/>
            <rFont val="Tahoma"/>
            <family val="2"/>
          </rPr>
          <t>from Parent</t>
        </r>
      </text>
    </comment>
    <comment ref="M57" authorId="0" shapeId="0">
      <text>
        <r>
          <rPr>
            <b/>
            <sz val="8"/>
            <color indexed="81"/>
            <rFont val="Tahoma"/>
            <family val="2"/>
          </rPr>
          <t>advance to Forecast Lake garden companies, which are subsidaries of the Vision Senior living Ltd
VSL and VS share same directorship</t>
        </r>
      </text>
    </comment>
    <comment ref="W57" authorId="0" shapeId="0">
      <text>
        <r>
          <rPr>
            <b/>
            <sz val="8"/>
            <color indexed="81"/>
            <rFont val="Tahoma"/>
            <family val="2"/>
          </rPr>
          <t>trade receivable and finannce receivable</t>
        </r>
      </text>
    </comment>
    <comment ref="AA57" authorId="0" shapeId="0">
      <text>
        <r>
          <rPr>
            <b/>
            <sz val="8"/>
            <color indexed="81"/>
            <rFont val="Tahoma"/>
            <family val="2"/>
          </rPr>
          <t>Loan to subsidiaries</t>
        </r>
      </text>
    </comment>
    <comment ref="AI57" authorId="0" shapeId="0">
      <text>
        <r>
          <rPr>
            <b/>
            <sz val="8"/>
            <color indexed="81"/>
            <rFont val="Tahoma"/>
            <family val="2"/>
          </rPr>
          <t xml:space="preserve">Loan from Gould Investment Ltd
</t>
        </r>
      </text>
    </comment>
    <comment ref="AA58" authorId="0" shapeId="0">
      <text>
        <r>
          <rPr>
            <b/>
            <sz val="8"/>
            <color indexed="81"/>
            <rFont val="Tahoma"/>
            <family val="2"/>
          </rPr>
          <t>Loan to directors</t>
        </r>
      </text>
    </comment>
    <comment ref="B115" authorId="0" shapeId="0">
      <text>
        <r>
          <rPr>
            <b/>
            <sz val="8"/>
            <color indexed="81"/>
            <rFont val="Tahoma"/>
            <family val="2"/>
          </rPr>
          <t>作者:</t>
        </r>
        <r>
          <rPr>
            <sz val="8"/>
            <color indexed="81"/>
            <rFont val="Tahoma"/>
            <family val="2"/>
          </rPr>
          <t xml:space="preserve">
Impaired asset expense corresponds to bad debt expense</t>
        </r>
      </text>
    </comment>
    <comment ref="I146" authorId="0" shapeId="0">
      <text>
        <r>
          <rPr>
            <b/>
            <sz val="8"/>
            <color indexed="81"/>
            <rFont val="Tahoma"/>
            <family val="2"/>
          </rPr>
          <t>to vision development Ltd</t>
        </r>
      </text>
    </comment>
    <comment ref="I147" authorId="0" shapeId="0">
      <text>
        <r>
          <rPr>
            <b/>
            <sz val="8"/>
            <color indexed="81"/>
            <rFont val="Tahoma"/>
            <family val="2"/>
          </rPr>
          <t>loan to subsidiary companies</t>
        </r>
      </text>
    </comment>
    <comment ref="I148" authorId="0" shapeId="0">
      <text>
        <r>
          <rPr>
            <b/>
            <sz val="8"/>
            <color indexed="81"/>
            <rFont val="Tahoma"/>
            <family val="2"/>
          </rPr>
          <t>laon from ubsidiary companies</t>
        </r>
      </text>
    </comment>
    <comment ref="I149" authorId="0" shapeId="0">
      <text>
        <r>
          <rPr>
            <b/>
            <sz val="8"/>
            <color indexed="81"/>
            <rFont val="Tahoma"/>
            <family val="2"/>
          </rPr>
          <t>owed to Arrow Int Gp Ltd</t>
        </r>
      </text>
    </comment>
  </commentList>
</comments>
</file>

<file path=xl/comments5.xml><?xml version="1.0" encoding="utf-8"?>
<comments xmlns="http://schemas.openxmlformats.org/spreadsheetml/2006/main">
  <authors>
    <author>作者</author>
  </authors>
  <commentList>
    <comment ref="Y3" authorId="0" shapeId="0">
      <text>
        <r>
          <rPr>
            <sz val="8"/>
            <color indexed="81"/>
            <rFont val="Tahoma"/>
            <family val="2"/>
          </rPr>
          <t>Impaired asset expense corresponds to bad debt expense</t>
        </r>
      </text>
    </comment>
  </commentList>
</comments>
</file>

<file path=xl/sharedStrings.xml><?xml version="1.0" encoding="utf-8"?>
<sst xmlns="http://schemas.openxmlformats.org/spreadsheetml/2006/main" count="1991" uniqueCount="532">
  <si>
    <t>Assignment Requirements</t>
  </si>
  <si>
    <t>Back to Overview</t>
    <phoneticPr fontId="0" type="noConversion"/>
  </si>
  <si>
    <t>Part  1: Extract raw into table format (20 marks)</t>
  </si>
  <si>
    <t>Part  2: Prepare summary statistics (15 marks)</t>
  </si>
  <si>
    <t>Data items for which summary statistics is required</t>
  </si>
  <si>
    <t>Asset size (NZD Thousand)</t>
  </si>
  <si>
    <t>Total operating income (annualized)</t>
  </si>
  <si>
    <t>Impaired asset expense as % of average loan assets</t>
  </si>
  <si>
    <t>Net interest margin (net interest income / average tot. assets)</t>
  </si>
  <si>
    <t>Loan asset growth/yr</t>
  </si>
  <si>
    <t>Part  3: Histogram (15 marks)</t>
  </si>
  <si>
    <t>Sample</t>
  </si>
  <si>
    <t>Name</t>
  </si>
  <si>
    <t>Type</t>
  </si>
  <si>
    <t>Allied Farmers Finance Ltd</t>
  </si>
  <si>
    <t>Finance Company</t>
  </si>
  <si>
    <t>All Purpose Finance Ltd</t>
  </si>
  <si>
    <t>Ashburton Finance Ltd</t>
  </si>
  <si>
    <t>Asset Finance Ltd</t>
  </si>
  <si>
    <t>Belgrave Finance Ltd</t>
  </si>
  <si>
    <t>Beneficial Finance Ltd</t>
  </si>
  <si>
    <t>Bridgecorp Ltd</t>
  </si>
  <si>
    <t>Broadlands Finance Ltd</t>
  </si>
  <si>
    <t>Business Finance Ltd</t>
  </si>
  <si>
    <t>Capital+Merchant Finance Ltd</t>
  </si>
  <si>
    <t>Challenge Finance Ltd</t>
  </si>
  <si>
    <t>Clegg &amp; Co Finance Ltd</t>
  </si>
  <si>
    <t>CityWide Capital Ltd</t>
  </si>
  <si>
    <t>Dorchester Finance Ltd</t>
  </si>
  <si>
    <t>Elders Finance Ltd</t>
  </si>
  <si>
    <t>Equitable Mortgage Income Trust</t>
  </si>
  <si>
    <t>Evia Finance Ltd</t>
  </si>
  <si>
    <t>FAI Finance Ltd</t>
  </si>
  <si>
    <t>Fairfield Finance Ltd</t>
  </si>
  <si>
    <t>Finance Direct Ltd</t>
  </si>
  <si>
    <t>Fisher&amp;Paykel Finance Ltd</t>
  </si>
  <si>
    <t>Five Star Consumer Finance Ltd</t>
  </si>
  <si>
    <t>Farmers' Mutual Finance Ltd</t>
  </si>
  <si>
    <t>General Finance Ltd</t>
  </si>
  <si>
    <t>Geneva Finance Ltd</t>
  </si>
  <si>
    <t>Gold Band Finance Ltd</t>
  </si>
  <si>
    <t>Instant Finance Ltd</t>
  </si>
  <si>
    <t>LDC Finance Ltd</t>
  </si>
  <si>
    <t>Lombard Finance &amp; Investment Ltd</t>
  </si>
  <si>
    <t>Mascot Finance Ltd</t>
  </si>
  <si>
    <t>Marac Finance Ltd</t>
  </si>
  <si>
    <t>Medical Securities Ltd</t>
  </si>
  <si>
    <t>MFS Pacific Finance Ltd</t>
  </si>
  <si>
    <t>Mutual Finance Ltd</t>
  </si>
  <si>
    <t>Nathans Finance NZ Ltd</t>
  </si>
  <si>
    <t>National Finance 2000 Ltd</t>
  </si>
  <si>
    <t>Nationwide Finance Ltd</t>
  </si>
  <si>
    <t>Numeria Finance Ltd</t>
  </si>
  <si>
    <t>Orange Finance Ltd</t>
  </si>
  <si>
    <t>Oxford Finance Corporation</t>
  </si>
  <si>
    <t>Pacific Retail Finance Ltd</t>
  </si>
  <si>
    <t>PGG Finance Ltd</t>
  </si>
  <si>
    <t>Prime Finance Ltd</t>
  </si>
  <si>
    <t>PropertyFinance Securities Ltd</t>
  </si>
  <si>
    <t>Rockforte Finance Ltd</t>
  </si>
  <si>
    <t>St Laurence Property &amp; Finance Ltd</t>
  </si>
  <si>
    <t>Saving and Loans Ltd</t>
  </si>
  <si>
    <t>Southland Finance Ltd</t>
  </si>
  <si>
    <t>South Canterbury Finance Ltd</t>
  </si>
  <si>
    <t>Speirs Finance Ltd</t>
  </si>
  <si>
    <t>Strategic Finance Ltd</t>
  </si>
  <si>
    <t>UDC</t>
  </si>
  <si>
    <t>United Finance Ltd</t>
  </si>
  <si>
    <t>Western Bay Finance Ltd</t>
  </si>
  <si>
    <t>Westgold Finance Ltd</t>
  </si>
  <si>
    <t>Williams &amp; Kettle Ltd</t>
  </si>
  <si>
    <t>Wrightson Finance Ltd</t>
  </si>
  <si>
    <t xml:space="preserve">ABS Canterbury </t>
  </si>
  <si>
    <t>Cooperative</t>
  </si>
  <si>
    <t>Nelson Building Society</t>
  </si>
  <si>
    <t>Southland Building Society</t>
  </si>
  <si>
    <t>Wairarapa Building Society</t>
  </si>
  <si>
    <t>PSIS Ltd</t>
  </si>
  <si>
    <t>NBFIs from A-G</t>
  </si>
  <si>
    <t>Back to Overview</t>
  </si>
  <si>
    <t>$000</t>
  </si>
  <si>
    <t>Avon Inestment Ltd</t>
  </si>
  <si>
    <t>BIL financial Ltd</t>
  </si>
  <si>
    <t>BMW Financial Service New Zealand Ltd</t>
  </si>
  <si>
    <t>Canon Finance New Zealand Ltd</t>
  </si>
  <si>
    <t>Capital+Merchant Finance LTd</t>
  </si>
  <si>
    <t>Centurion Finance Ltd</t>
  </si>
  <si>
    <t>Citywide Capital Ltd</t>
  </si>
  <si>
    <t>Dealer Finance Ltd</t>
  </si>
  <si>
    <t>Dominon Finance Group Ltd</t>
  </si>
  <si>
    <t>Eagle Finance Ltd</t>
  </si>
  <si>
    <t>First Eastern Finance Ltd</t>
  </si>
  <si>
    <t>Fletcher Building Finance Ltd</t>
  </si>
  <si>
    <t>Flexirent Capital New Zealand Ltd</t>
  </si>
  <si>
    <t>Focus Capital Group</t>
  </si>
  <si>
    <t>Fuji Xerox Finance Ltd</t>
  </si>
  <si>
    <t>General Motors Acceptance Corporation (NZ) Ltd</t>
  </si>
  <si>
    <t>GE Finance and Insurance</t>
  </si>
  <si>
    <t>Global Corporate Credit Ltd</t>
  </si>
  <si>
    <t>Goodman Finance Ltd</t>
  </si>
  <si>
    <t>GPG Finance Ltd</t>
  </si>
  <si>
    <t>Year</t>
  </si>
  <si>
    <t>Year end</t>
  </si>
  <si>
    <r>
      <t>M</t>
    </r>
    <r>
      <rPr>
        <sz val="11"/>
        <color theme="1"/>
        <rFont val="Calibri"/>
        <family val="2"/>
        <scheme val="minor"/>
      </rPr>
      <t>arch</t>
    </r>
  </si>
  <si>
    <r>
      <t>March</t>
    </r>
    <r>
      <rPr>
        <sz val="11"/>
        <color theme="1"/>
        <rFont val="Calibri"/>
        <family val="2"/>
        <scheme val="minor"/>
      </rPr>
      <t/>
    </r>
  </si>
  <si>
    <t>June</t>
  </si>
  <si>
    <r>
      <t>J</t>
    </r>
    <r>
      <rPr>
        <sz val="11"/>
        <color theme="1"/>
        <rFont val="Calibri"/>
        <family val="2"/>
        <scheme val="minor"/>
      </rPr>
      <t>une</t>
    </r>
  </si>
  <si>
    <r>
      <t>June</t>
    </r>
    <r>
      <rPr>
        <sz val="11"/>
        <color theme="1"/>
        <rFont val="Calibri"/>
        <family val="2"/>
        <scheme val="minor"/>
      </rPr>
      <t/>
    </r>
  </si>
  <si>
    <t>March</t>
  </si>
  <si>
    <t>Dec</t>
  </si>
  <si>
    <t>May</t>
  </si>
  <si>
    <t>April</t>
  </si>
  <si>
    <t>August</t>
  </si>
  <si>
    <t>December</t>
  </si>
  <si>
    <t>September</t>
  </si>
  <si>
    <t>October</t>
  </si>
  <si>
    <t xml:space="preserve">Data ID </t>
  </si>
  <si>
    <t>Statm of Financial Performance (P&amp;L)</t>
  </si>
  <si>
    <t>Interest income</t>
  </si>
  <si>
    <t xml:space="preserve">       </t>
  </si>
  <si>
    <t>Interest expense</t>
  </si>
  <si>
    <t>Net interest income</t>
  </si>
  <si>
    <t>Bad debt recovered</t>
  </si>
  <si>
    <t>Commissions and Fees</t>
  </si>
  <si>
    <t>Other operating income</t>
  </si>
  <si>
    <t>Total operating(non-interest) income</t>
  </si>
  <si>
    <t xml:space="preserve">  Add. prov. for doubtful debts</t>
  </si>
  <si>
    <t xml:space="preserve">  Bad debts written off</t>
  </si>
  <si>
    <t xml:space="preserve">  Other operating expenses</t>
  </si>
  <si>
    <t>Total operating(non-interest) expense</t>
  </si>
  <si>
    <t>Net surplus before taxation</t>
  </si>
  <si>
    <t>Tax expense</t>
  </si>
  <si>
    <t>Net surplus</t>
  </si>
  <si>
    <t>Balance Sheet</t>
  </si>
  <si>
    <t>Assets</t>
  </si>
  <si>
    <t>Finance receivables / loans&amp; advances</t>
  </si>
  <si>
    <t>Other assets</t>
  </si>
  <si>
    <t>Total assets</t>
  </si>
  <si>
    <t>Equity&amp;liabilities</t>
  </si>
  <si>
    <t>Current debentures and deposits</t>
  </si>
  <si>
    <t>N/current debentures and deposits</t>
  </si>
  <si>
    <t>Other liabilities</t>
  </si>
  <si>
    <t>Equity</t>
  </si>
  <si>
    <t>Total</t>
  </si>
  <si>
    <t>Asset Quality</t>
  </si>
  <si>
    <t>Impaired assets</t>
  </si>
  <si>
    <t xml:space="preserve">               </t>
  </si>
  <si>
    <t>Past due assets</t>
  </si>
  <si>
    <t>Total past due &amp; impaired</t>
  </si>
  <si>
    <t>Provisions specific</t>
  </si>
  <si>
    <t>Provisions general &amp; other</t>
  </si>
  <si>
    <t>Provisions total</t>
  </si>
  <si>
    <t>Starting provisions</t>
  </si>
  <si>
    <t>Charge/credit to income statement</t>
  </si>
  <si>
    <t>Other transaction (recoveries/ written off)</t>
  </si>
  <si>
    <t>Closing provisions</t>
  </si>
  <si>
    <t>Related party transactions</t>
  </si>
  <si>
    <t xml:space="preserve"> </t>
  </si>
  <si>
    <t>Income from related companies (interest/ni)</t>
  </si>
  <si>
    <t>Expense to related companies  (interest/ni)</t>
  </si>
  <si>
    <t>Loan from related companies</t>
  </si>
  <si>
    <t>21281. 079</t>
  </si>
  <si>
    <t>Loan to related companies</t>
  </si>
  <si>
    <t xml:space="preserve">Other transaction to related companies </t>
  </si>
  <si>
    <t>Concentration of credit risk</t>
  </si>
  <si>
    <t>Exposure to indivdual counter party</t>
  </si>
  <si>
    <t xml:space="preserve">   No of 10- 20% of equity</t>
  </si>
  <si>
    <r>
      <t>n</t>
    </r>
    <r>
      <rPr>
        <sz val="11"/>
        <color theme="1"/>
        <rFont val="Calibri"/>
        <family val="2"/>
        <scheme val="minor"/>
      </rPr>
      <t>/a</t>
    </r>
  </si>
  <si>
    <t>N/a</t>
  </si>
  <si>
    <t xml:space="preserve">   No of more than 20% of equity</t>
  </si>
  <si>
    <t xml:space="preserve">Loan and advance industry </t>
  </si>
  <si>
    <t xml:space="preserve">  No 1 ranked (%)</t>
  </si>
  <si>
    <t>Commericial loan</t>
  </si>
  <si>
    <t>Mortgage</t>
  </si>
  <si>
    <t>Commerical and Business</t>
  </si>
  <si>
    <t>Agriculture, Forestry, fishing and Mining</t>
  </si>
  <si>
    <t>Personal loan</t>
  </si>
  <si>
    <t>Property related financial service</t>
  </si>
  <si>
    <t>Residential Investment</t>
  </si>
  <si>
    <t>Retail, Hire purchase</t>
  </si>
  <si>
    <t>Loan to parent company</t>
  </si>
  <si>
    <t>Hire Purchase, finance dealer vehicle stocks</t>
  </si>
  <si>
    <t>Commercial</t>
  </si>
  <si>
    <t>Property loan</t>
  </si>
  <si>
    <t>Tansport, storage and aviation</t>
  </si>
  <si>
    <t>Leasing</t>
  </si>
  <si>
    <t>Property</t>
  </si>
  <si>
    <t>credit card, personal</t>
  </si>
  <si>
    <t>Retail sector</t>
  </si>
  <si>
    <t>Residential development</t>
  </si>
  <si>
    <t>Leased equipment primarily in small to medium enterprise market</t>
  </si>
  <si>
    <t>Motor vehicle hire purchase</t>
  </si>
  <si>
    <t xml:space="preserve">Personal Finance </t>
  </si>
  <si>
    <t>Consumer and Business loan</t>
  </si>
  <si>
    <t>Commerical/Residential property development</t>
  </si>
  <si>
    <t>Mortgage residential and Commcerial</t>
  </si>
  <si>
    <t>Agriculture</t>
  </si>
  <si>
    <t>Retail and consumer</t>
  </si>
  <si>
    <t>Logging</t>
  </si>
  <si>
    <t>small and medium size business in Nelson and Marlborough</t>
  </si>
  <si>
    <t>Rural sector</t>
  </si>
  <si>
    <t>Personal loan (car, boat)</t>
  </si>
  <si>
    <t xml:space="preserve">Building </t>
  </si>
  <si>
    <t>Retail customers</t>
  </si>
  <si>
    <t>consumer durable goods</t>
  </si>
  <si>
    <t>Loan to Parent company</t>
  </si>
  <si>
    <t>funding for the purchase of predominantly IT equipment</t>
  </si>
  <si>
    <t xml:space="preserve">renting and leasing finance </t>
  </si>
  <si>
    <t>Leasing and renting equipment</t>
  </si>
  <si>
    <t>first and second mortgage provider</t>
  </si>
  <si>
    <t>Property and motor vehicles</t>
  </si>
  <si>
    <t>Business finance</t>
  </si>
  <si>
    <t>Invest in two series of Credit linked notes</t>
  </si>
  <si>
    <t>Personal finance</t>
  </si>
  <si>
    <t>For taking over Goodman Fielder</t>
  </si>
  <si>
    <t>Loan to other companies under GPG Holding Ltd</t>
  </si>
  <si>
    <t>?</t>
  </si>
  <si>
    <t xml:space="preserve">  No 2 ranked (%)</t>
  </si>
  <si>
    <t>Farming and Rural</t>
  </si>
  <si>
    <t>Manufacturing</t>
  </si>
  <si>
    <t xml:space="preserve">Business loan </t>
  </si>
  <si>
    <t>Residential Development</t>
  </si>
  <si>
    <t>Motor vechicle loan</t>
  </si>
  <si>
    <t>Machinery contractors</t>
  </si>
  <si>
    <t>Land/sub division</t>
  </si>
  <si>
    <t>Residential lending</t>
  </si>
  <si>
    <t xml:space="preserve">subdivisions Urban </t>
  </si>
  <si>
    <t xml:space="preserve">Property </t>
  </si>
  <si>
    <t>Finance and insurance</t>
  </si>
  <si>
    <t>Health</t>
  </si>
  <si>
    <t>Service</t>
  </si>
  <si>
    <t>Commercial Customers</t>
  </si>
  <si>
    <t>Commerical finance</t>
  </si>
  <si>
    <t xml:space="preserve">Geographical concentration of loans </t>
  </si>
  <si>
    <t>Taranaki Residents</t>
  </si>
  <si>
    <t xml:space="preserve">Auckland </t>
  </si>
  <si>
    <t>North of North Island</t>
  </si>
  <si>
    <t>Auckland</t>
  </si>
  <si>
    <t>Canterbury</t>
  </si>
  <si>
    <t>Nelson</t>
  </si>
  <si>
    <t>Rest of North Island</t>
  </si>
  <si>
    <t>Parent Company</t>
  </si>
  <si>
    <t>South Caterbury finance LTd</t>
  </si>
  <si>
    <t>BIL</t>
  </si>
  <si>
    <t>BMW New Zealand Ltd</t>
  </si>
  <si>
    <t>Bridgecorp Holdings Ltd (AU)</t>
  </si>
  <si>
    <t>Access Capital Ltd (parent)</t>
  </si>
  <si>
    <t>South Pacific Credit card Ltd</t>
  </si>
  <si>
    <t xml:space="preserve">Clegg &amp; Co </t>
  </si>
  <si>
    <t>Havnor Group Holding Ltd</t>
  </si>
  <si>
    <t>Hanover Holding Ltd</t>
  </si>
  <si>
    <t>AF investment LTd</t>
  </si>
  <si>
    <t>Flexirent Capital Pty Ltd (AU)</t>
  </si>
  <si>
    <t>Origination Network Systems Pty. Ltd</t>
  </si>
  <si>
    <t>Fuji Xerox NZ Ltd</t>
  </si>
  <si>
    <t>Cairns lockie Ltd</t>
  </si>
  <si>
    <t xml:space="preserve">Gneral Motors Acceptance Co. </t>
  </si>
  <si>
    <t>GE Capital Global Finance Holdings Inc. (US)</t>
  </si>
  <si>
    <t>Forsyth Barr Group Ltd</t>
  </si>
  <si>
    <t>Burns Philp &amp; Company</t>
  </si>
  <si>
    <t>parent info 2</t>
  </si>
  <si>
    <t>Belgrave Finance Trust</t>
  </si>
  <si>
    <t>BMW AG</t>
  </si>
  <si>
    <t>American Express Co.</t>
  </si>
  <si>
    <t>GE Co. (US)</t>
  </si>
  <si>
    <t>parent info 3</t>
  </si>
  <si>
    <t>Serge Investment Ltd</t>
  </si>
  <si>
    <t>Employee number (full time equivalent)</t>
  </si>
  <si>
    <t>SUMMARY STATISTICS</t>
  </si>
  <si>
    <t>Profitablility / Efficiency</t>
  </si>
  <si>
    <t>Return on assets
(net surplus / average total assets)</t>
  </si>
  <si>
    <t>Return on equity
(net surplus / average equity)</t>
  </si>
  <si>
    <t>Net interest margin (net interest income / average tot. assets)</t>
    <phoneticPr fontId="0" type="noConversion"/>
  </si>
  <si>
    <t>Interest income as % of average loan assets</t>
    <phoneticPr fontId="0" type="noConversion"/>
  </si>
  <si>
    <t>Interest expense as % of average debentures&amp;deposits</t>
  </si>
  <si>
    <t>Non-interest income as % total operating income</t>
  </si>
  <si>
    <t>Cost income ratios:</t>
  </si>
  <si>
    <t>Operating expense / (net interest income + other income)</t>
  </si>
  <si>
    <t>Operating expense / (net interest income + other income - impaired asset exp.)</t>
  </si>
  <si>
    <t>Capital ratio (not risk weighted)
(equity / total assets)</t>
  </si>
  <si>
    <t>Loan assets as % of total assets</t>
  </si>
  <si>
    <t>Related Party Information</t>
  </si>
  <si>
    <r>
      <t>L</t>
    </r>
    <r>
      <rPr>
        <sz val="11"/>
        <color theme="1"/>
        <rFont val="Calibri"/>
        <family val="2"/>
        <scheme val="minor"/>
      </rPr>
      <t>oans to related party as % of loan assets</t>
    </r>
  </si>
  <si>
    <r>
      <t>I</t>
    </r>
    <r>
      <rPr>
        <sz val="11"/>
        <color theme="1"/>
        <rFont val="Calibri"/>
        <family val="2"/>
        <scheme val="minor"/>
      </rPr>
      <t>ncome from related party as % of total income</t>
    </r>
  </si>
  <si>
    <t>Level impaired assets as % of total assets</t>
  </si>
  <si>
    <t>Level total provisions for doubtful debts as % of loan assets</t>
  </si>
  <si>
    <t>Level general provisions for doubtful debts as % of loan assets</t>
  </si>
  <si>
    <t>Net debt write-offs as % of average loan assets</t>
  </si>
  <si>
    <t>Impaired asset expense as % of net interest income</t>
  </si>
  <si>
    <t>P&amp;L Raw Data</t>
  </si>
  <si>
    <t>Net interest income (annualized)</t>
  </si>
  <si>
    <t>Net surplus (annualized)</t>
  </si>
  <si>
    <t xml:space="preserve">Impaired asset expense (annualized) </t>
  </si>
  <si>
    <t>Net debt write off (annualized)</t>
  </si>
  <si>
    <t>Tax expense (annualized)</t>
  </si>
  <si>
    <t>Balance Sheet Raw Data</t>
  </si>
  <si>
    <t>Average assets</t>
  </si>
  <si>
    <t>Average loan assets</t>
  </si>
  <si>
    <t>Loan assets (end balance)</t>
  </si>
  <si>
    <t>Average equity</t>
  </si>
  <si>
    <t>Equity (end balance)</t>
  </si>
  <si>
    <t>Average debentures/deposits</t>
  </si>
  <si>
    <t>Debentures (end balance)</t>
  </si>
  <si>
    <t>General provisions (level)</t>
  </si>
  <si>
    <t>Total provisions (level)</t>
  </si>
  <si>
    <t>Movement in general provision (annualized)</t>
  </si>
  <si>
    <t>Movement in total provisions (annualized)</t>
  </si>
  <si>
    <t>Bottom of lookup/match range</t>
  </si>
  <si>
    <t>End Point</t>
  </si>
  <si>
    <t>Mid Point</t>
  </si>
  <si>
    <t>Year End Point</t>
  </si>
  <si>
    <t>Interval</t>
  </si>
  <si>
    <t>Related Party information</t>
  </si>
  <si>
    <t>Info1</t>
  </si>
  <si>
    <t>Allied Farmers Ltd (parent)</t>
  </si>
  <si>
    <t>Lease, expense, purchase of debtors porfoliio of the parent company</t>
  </si>
  <si>
    <t>Executive Trustees Ltd controlled by Mr A S Radisich.</t>
  </si>
  <si>
    <t>Lease premises</t>
  </si>
  <si>
    <t>Negotiable Enterprises Ltd (shareholder)</t>
  </si>
  <si>
    <t>Dividend</t>
  </si>
  <si>
    <t>Dorechester Pacific Ltd (parent)</t>
  </si>
  <si>
    <t>Mangement fee, Dividend</t>
  </si>
  <si>
    <t>Hanover Group Holding Ltd (grand Grand parent)</t>
  </si>
  <si>
    <t xml:space="preserve">various </t>
  </si>
  <si>
    <t>Info2</t>
  </si>
  <si>
    <t>Timbertion Investment Ltd and Swan Insurance Ltd controlled by Mr A S Radisich</t>
  </si>
  <si>
    <t xml:space="preserve">Loan </t>
  </si>
  <si>
    <t>Whitby Willage Holding Ltd</t>
  </si>
  <si>
    <t>Subention payment</t>
  </si>
  <si>
    <t>Senate Finance Ltd (subsidiary)</t>
  </si>
  <si>
    <t>Hanover Group Ltd (grand parent)</t>
  </si>
  <si>
    <t>Info3</t>
  </si>
  <si>
    <t xml:space="preserve">Penrose Enterprises Ltd controlled by Mr AS Radisich </t>
  </si>
  <si>
    <t>Purchase of fleet vehicles</t>
  </si>
  <si>
    <t>Hanover Financial service Ltd (parent)</t>
  </si>
  <si>
    <t>NBFIs from H-N</t>
  </si>
  <si>
    <t>Liberty Financial Ltd</t>
  </si>
  <si>
    <t>Loan Society</t>
  </si>
  <si>
    <t>Macquarie Finance (NZ) Ltd</t>
  </si>
  <si>
    <t>Motor Trade Finance Ltd</t>
  </si>
  <si>
    <t>New Zealand Finance Ltd</t>
  </si>
  <si>
    <t>North South Finance Ltd</t>
  </si>
  <si>
    <t>Maarch</t>
  </si>
  <si>
    <t>n/a</t>
  </si>
  <si>
    <t>na/a</t>
  </si>
  <si>
    <t>Car, household, and mortgage</t>
  </si>
  <si>
    <t>finance to finance company</t>
  </si>
  <si>
    <t>Mortgage Loan</t>
  </si>
  <si>
    <t xml:space="preserve">Mortgage </t>
  </si>
  <si>
    <t>Commercial Property</t>
  </si>
  <si>
    <t xml:space="preserve">Consumer </t>
  </si>
  <si>
    <t>Property development and investment</t>
  </si>
  <si>
    <t>Health care profession</t>
  </si>
  <si>
    <t>Residential loan</t>
  </si>
  <si>
    <t>Commerical property industry</t>
  </si>
  <si>
    <t>motor vehicle</t>
  </si>
  <si>
    <t>personal loan</t>
  </si>
  <si>
    <t xml:space="preserve">Vending </t>
  </si>
  <si>
    <t>personal loan (vehicles)</t>
  </si>
  <si>
    <t>Commercial &amp; residential property development</t>
  </si>
  <si>
    <t>Residential</t>
  </si>
  <si>
    <t>Residential housing</t>
  </si>
  <si>
    <t>other finance company</t>
  </si>
  <si>
    <t>lending to business and personal</t>
  </si>
  <si>
    <t>Farming</t>
  </si>
  <si>
    <t>Residential property development</t>
  </si>
  <si>
    <t>Commerical Building</t>
  </si>
  <si>
    <t>auckland</t>
  </si>
  <si>
    <t>Christchurch, wellington</t>
  </si>
  <si>
    <t>Liberty Financial Pty Ltd (Au)</t>
  </si>
  <si>
    <t>Solomon Nominees Ltd</t>
  </si>
  <si>
    <t>Pyne Gould Corporation Ltd</t>
  </si>
  <si>
    <t>Mutual Group Ltd</t>
  </si>
  <si>
    <t>VTL Group</t>
  </si>
  <si>
    <t>Hanover Group Holding Ltd</t>
  </si>
  <si>
    <t>New Zealand Finance Holding Ltd</t>
  </si>
  <si>
    <t>Central Enterprises Ltd</t>
  </si>
  <si>
    <t>Numeria Co Ltd</t>
  </si>
  <si>
    <t>The Bay Trust</t>
  </si>
  <si>
    <t>(Ult) Evan Christian</t>
  </si>
  <si>
    <t>Interest income as % of average loan assets</t>
  </si>
  <si>
    <t>NBFIs from O-T</t>
  </si>
  <si>
    <t>Origin Energy Contact Finance Ltd</t>
  </si>
  <si>
    <t>ORIX New Zealand Ltd</t>
  </si>
  <si>
    <t>Primus Financial Service Ltd</t>
  </si>
  <si>
    <t>Prometheus Finance Ltd</t>
  </si>
  <si>
    <t>PropertyFinance securities Ltd</t>
  </si>
  <si>
    <t>Provincial Finance Ltd</t>
  </si>
  <si>
    <t>Rural Portfolio Investment Ltd</t>
  </si>
  <si>
    <t>Sapphire Securities  Ltd</t>
  </si>
  <si>
    <t>Sapphire Securities Ltd</t>
  </si>
  <si>
    <t>Scottish Pacific Business Finance Ltd</t>
  </si>
  <si>
    <t>SMC Buidling Society</t>
  </si>
  <si>
    <t>SMC Building Society</t>
  </si>
  <si>
    <t>Southern Cross Building Society</t>
  </si>
  <si>
    <t>SouthPac Finance Trust Ltd</t>
  </si>
  <si>
    <t>Strata Finance Ltd</t>
  </si>
  <si>
    <t>TCNZ Finance Ltd</t>
  </si>
  <si>
    <t>Technology Holding Ltd</t>
  </si>
  <si>
    <t>Toyota Finance Ltd</t>
  </si>
  <si>
    <t>July</t>
  </si>
  <si>
    <r>
      <t xml:space="preserve">Total </t>
    </r>
    <r>
      <rPr>
        <sz val="11"/>
        <color theme="1"/>
        <rFont val="Calibri"/>
        <family val="2"/>
        <scheme val="minor"/>
      </rPr>
      <t>operating(non-interest) i</t>
    </r>
    <r>
      <rPr>
        <sz val="11"/>
        <color theme="1"/>
        <rFont val="Calibri"/>
        <family val="2"/>
        <scheme val="minor"/>
      </rPr>
      <t>ncome</t>
    </r>
  </si>
  <si>
    <t>subscrible for redeemable preference shares in Mission energy pacific holdings, the major sharehold in Contact Energy Ltd</t>
  </si>
  <si>
    <t>business finance, leasing</t>
  </si>
  <si>
    <t>Hire purchase agreement, personal loan</t>
  </si>
  <si>
    <t>Purchase hire purchase from parent company (Retail and consumer)</t>
  </si>
  <si>
    <t>Motor vehicle</t>
  </si>
  <si>
    <t>Automative finance</t>
  </si>
  <si>
    <t xml:space="preserve">Socially Responsible Investment </t>
  </si>
  <si>
    <t>Commerical property lending</t>
  </si>
  <si>
    <t>Household lending and consumer</t>
  </si>
  <si>
    <t>Motor purchasing</t>
  </si>
  <si>
    <t xml:space="preserve">Rural </t>
  </si>
  <si>
    <t xml:space="preserve">Factoring </t>
  </si>
  <si>
    <t xml:space="preserve">Personal </t>
  </si>
  <si>
    <t>property</t>
  </si>
  <si>
    <t>personal service and housing</t>
  </si>
  <si>
    <t>vehicles finance</t>
  </si>
  <si>
    <t>commerical property lending</t>
  </si>
  <si>
    <t>parents company</t>
  </si>
  <si>
    <t>Technology, Eftpos</t>
  </si>
  <si>
    <t>HouseHold</t>
  </si>
  <si>
    <t>business equipment</t>
  </si>
  <si>
    <t>Residential property lending</t>
  </si>
  <si>
    <t>rural</t>
  </si>
  <si>
    <t>finance and insurance</t>
  </si>
  <si>
    <t>rural sector</t>
  </si>
  <si>
    <t>Car dealership</t>
  </si>
  <si>
    <t>South Island</t>
  </si>
  <si>
    <t>Gisborne</t>
  </si>
  <si>
    <t>MECI BV</t>
  </si>
  <si>
    <t>Electra Ltd</t>
  </si>
  <si>
    <t>Pacific Retail services Ltd</t>
  </si>
  <si>
    <t>Pyne Gould Guinness Ltd</t>
  </si>
  <si>
    <t>Prometheus Foundation</t>
  </si>
  <si>
    <t>Avon Investment Ltd</t>
  </si>
  <si>
    <t>Bluestone Group Pty Ltd</t>
  </si>
  <si>
    <t>Scottish Pacific Management service Pty Ltd (AU)</t>
  </si>
  <si>
    <t>Southbury Group Ltd</t>
  </si>
  <si>
    <t>St Laurence Ltd</t>
  </si>
  <si>
    <t>Toyota Financial services Co (JPN)</t>
  </si>
  <si>
    <t>Pacific Retail Group Ltd</t>
  </si>
  <si>
    <t>(Ultimate) St. George Bank (AU)</t>
  </si>
  <si>
    <t>`</t>
  </si>
  <si>
    <t xml:space="preserve">Toyota Motor Co. </t>
  </si>
  <si>
    <t>(ultimate) Cullen Group Ltd</t>
  </si>
  <si>
    <t>NBFIs from U-X</t>
  </si>
  <si>
    <t>$000</t>
    <phoneticPr fontId="0" type="noConversion"/>
  </si>
  <si>
    <t>Vision Senior Living Ltd</t>
  </si>
  <si>
    <t>Vision Securities Ltd</t>
  </si>
  <si>
    <t>VTL Group Finance Ltd</t>
  </si>
  <si>
    <t>VTL Group Ltd</t>
  </si>
  <si>
    <t>Bad debt recovered</t>
    <phoneticPr fontId="0" type="noConversion"/>
  </si>
  <si>
    <t>Commissions and Fees</t>
    <phoneticPr fontId="0" type="noConversion"/>
  </si>
  <si>
    <t>Commercial property</t>
  </si>
  <si>
    <t>retirement village developers</t>
  </si>
  <si>
    <t>Transport, storage and avaiation</t>
  </si>
  <si>
    <t>vending</t>
  </si>
  <si>
    <t>Personal</t>
  </si>
  <si>
    <t>Motor Vehicle industry</t>
  </si>
  <si>
    <t>Arrow international Ltd</t>
  </si>
  <si>
    <t>Wringhtson Ltd</t>
  </si>
  <si>
    <t>Messrs Anderson and R. Foster (two directors of VSL)</t>
  </si>
  <si>
    <t>ANZ</t>
  </si>
  <si>
    <t>\</t>
  </si>
  <si>
    <t>Main lending categories of NBFIs</t>
  </si>
  <si>
    <t># of companies</t>
  </si>
  <si>
    <t>Property(Investment/Development)</t>
  </si>
  <si>
    <t>Business/Manufacturing</t>
  </si>
  <si>
    <t>Rural/Farming</t>
  </si>
  <si>
    <t>Personal/Consumer/Retail</t>
  </si>
  <si>
    <t>Others</t>
  </si>
  <si>
    <t>Global Corporate Credit Limited</t>
  </si>
  <si>
    <t>BIL financial Ltd (loan to parent company)</t>
    <phoneticPr fontId="0" type="noConversion"/>
  </si>
  <si>
    <t>Goodman Finance Ltd (for taking over Goodman)</t>
  </si>
  <si>
    <t>Fletcher Building Finance Limited (loan to parent company)</t>
  </si>
  <si>
    <t>Origin Energy Contact Finance Limited</t>
  </si>
  <si>
    <t>Fuji Xerox Finance Limited</t>
  </si>
  <si>
    <t>Prometheus Finance (Socially Responsible Investment )</t>
  </si>
  <si>
    <t>Canon Finance New Zealand Limited</t>
  </si>
  <si>
    <t>TCNZ Finance LTd</t>
  </si>
  <si>
    <t>ORIX New Zealand Limited</t>
  </si>
  <si>
    <t xml:space="preserve">VTL Group Finance Ltd </t>
  </si>
  <si>
    <t>Sapphire Securities</t>
  </si>
  <si>
    <t>Toyota Finance Limited</t>
  </si>
  <si>
    <t>BMW Financial Service New Zealand Limited</t>
  </si>
  <si>
    <t>Retail Financial Services Limited</t>
  </si>
  <si>
    <t>Primus Financial Service Limited</t>
  </si>
  <si>
    <t xml:space="preserve">South Canterbury Finance Ltd </t>
  </si>
  <si>
    <t>Eagle Finance Limited</t>
  </si>
  <si>
    <t>BIL financial Ltd (loan to parent company)</t>
  </si>
  <si>
    <t>SUMMARY</t>
    <phoneticPr fontId="0" type="noConversion"/>
  </si>
  <si>
    <t>YEAR</t>
    <phoneticPr fontId="0" type="noConversion"/>
  </si>
  <si>
    <t>Company Name</t>
  </si>
  <si>
    <t>Return on assets
(net surplus / average total assets)</t>
    <phoneticPr fontId="0" type="noConversion"/>
  </si>
  <si>
    <t>Return on equity
(net surplus / average equity)</t>
    <phoneticPr fontId="0" type="noConversion"/>
  </si>
  <si>
    <t>Net interest margin (net interest income / average tot. assets)</t>
    <phoneticPr fontId="0" type="noConversion"/>
  </si>
  <si>
    <t>Interest income as % of average loan assets</t>
    <phoneticPr fontId="0" type="noConversion"/>
  </si>
  <si>
    <t>Interest expense as % of average debentures&amp;deposits</t>
    <phoneticPr fontId="0" type="noConversion"/>
  </si>
  <si>
    <t>Non-interest income as % total operating income</t>
    <phoneticPr fontId="0" type="noConversion"/>
  </si>
  <si>
    <t>Operating expense / (net interest income + other income)</t>
    <phoneticPr fontId="0" type="noConversion"/>
  </si>
  <si>
    <t>Operating expense / (net interest income + other income - impaired asset exp.)</t>
    <phoneticPr fontId="0" type="noConversion"/>
  </si>
  <si>
    <t>Asset size (NZD Thousand)</t>
    <phoneticPr fontId="0" type="noConversion"/>
  </si>
  <si>
    <t>Loan asset growth/yr</t>
    <phoneticPr fontId="0" type="noConversion"/>
  </si>
  <si>
    <t>Capital ratio (not risk weighted)
(equity / total assets)</t>
    <phoneticPr fontId="0" type="noConversion"/>
  </si>
  <si>
    <t>Loan assets as % of total assets</t>
    <phoneticPr fontId="0" type="noConversion"/>
  </si>
  <si>
    <t>Level impaired assets as % of total assets</t>
    <phoneticPr fontId="0" type="noConversion"/>
  </si>
  <si>
    <t>Level total provisions for doubtful debts as % of loan assets</t>
    <phoneticPr fontId="0" type="noConversion"/>
  </si>
  <si>
    <t>Level general provisions for doubtful debts as % of loan assets</t>
    <phoneticPr fontId="0" type="noConversion"/>
  </si>
  <si>
    <t>Impaired asset expense as % of average loan assets</t>
    <phoneticPr fontId="0" type="noConversion"/>
  </si>
  <si>
    <t>Net debt write-offs as % of average loan assets</t>
    <phoneticPr fontId="0" type="noConversion"/>
  </si>
  <si>
    <t>Impaired asset expense as % of net interest income</t>
    <phoneticPr fontId="0" type="noConversion"/>
  </si>
  <si>
    <t>Net interest income (annualized)</t>
    <phoneticPr fontId="0" type="noConversion"/>
  </si>
  <si>
    <t>Total operating income (annualized)</t>
    <phoneticPr fontId="0" type="noConversion"/>
  </si>
  <si>
    <t>Net surplus (annualized)</t>
    <phoneticPr fontId="0" type="noConversion"/>
  </si>
  <si>
    <t xml:space="preserve">Impaired asset expense (annualized) </t>
    <phoneticPr fontId="0" type="noConversion"/>
  </si>
  <si>
    <t>Net debt write off (annualized)</t>
    <phoneticPr fontId="0" type="noConversion"/>
  </si>
  <si>
    <t>Tax expense (annualized)</t>
    <phoneticPr fontId="0" type="noConversion"/>
  </si>
  <si>
    <t>Average assets</t>
    <phoneticPr fontId="0" type="noConversion"/>
  </si>
  <si>
    <t>Average loan assets</t>
    <phoneticPr fontId="0" type="noConversion"/>
  </si>
  <si>
    <t>Loan assets (end balance)</t>
    <phoneticPr fontId="0" type="noConversion"/>
  </si>
  <si>
    <t>Average equity</t>
    <phoneticPr fontId="0" type="noConversion"/>
  </si>
  <si>
    <t>Equity (end balance)</t>
    <phoneticPr fontId="0" type="noConversion"/>
  </si>
  <si>
    <t>Average debentures/deposits</t>
    <phoneticPr fontId="0" type="noConversion"/>
  </si>
  <si>
    <t>Debentures (end balance)</t>
    <phoneticPr fontId="0" type="noConversion"/>
  </si>
  <si>
    <t>General provisions (level)</t>
    <phoneticPr fontId="0" type="noConversion"/>
  </si>
  <si>
    <t>Total provisions (level)</t>
    <phoneticPr fontId="0" type="noConversion"/>
  </si>
  <si>
    <t>Movement in general provision (annualized)</t>
    <phoneticPr fontId="0" type="noConversion"/>
  </si>
  <si>
    <t>Movement in total provisions (annualized)</t>
    <phoneticPr fontId="0" type="noConversion"/>
  </si>
  <si>
    <t>Allied Farmers Finance Ltd</t>
    <phoneticPr fontId="0" type="noConversion"/>
  </si>
  <si>
    <t>Group Member Name</t>
  </si>
  <si>
    <t xml:space="preserve">ID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</si>
</sst>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_-;\(#,##0\)"/>
    <numFmt numFmtId="165" formatCode="_ * #,##0_ ;_ * \-#,##0_ ;_ * &quot;-&quot;_ ;_ @_ "/>
    <numFmt numFmtId="166" formatCode="_ * #,##0.0_ ;_ * \-#,##0.0_ ;_ * &quot;-&quot;_ ;_ @_ "/>
    <numFmt numFmtId="167" formatCode="_ * #,##0.00_ ;_ * \-#,##0.00_ ;_ * &quot;-&quot;_ ;_ @_ "/>
    <numFmt numFmtId="168" formatCode="_-* #,##0_-;\-* #,##0_-;_-* &quot;-&quot;??_-;_-@_-"/>
    <numFmt numFmtId="169" formatCode="0.0%"/>
    <numFmt numFmtId="170" formatCode="#,##0.0000"/>
    <numFmt numFmtId="171" formatCode="0.0"/>
    <numFmt numFmtId="172" formatCode="_(* #,##0_);_(* \(#,##0\);_(* &quot;-&quot;_);_(@_)"/>
    <numFmt numFmtId="173" formatCode="#,##0.000"/>
    <numFmt numFmtId="174" formatCode="_ * #,##0.00_ ;_ * \-#,##0.00_ ;_ * &quot;-&quot;??_ ;_ @_ "/>
  </numFmts>
  <fonts count="15" x14ac:knownFonts="1">
    <font>
      <sz val="11"/>
      <color theme="1"/>
      <name val="Calibri"/>
      <family val="2"/>
      <scheme val="minor"/>
    </font>
    <font>
      <sz val="10"/>
      <name val="Arial"/>
      <family val="2"/>
    </font>
    <font>
      <b/>
      <sz val="12"/>
      <name val="Arial"/>
      <family val="2"/>
    </font>
    <font>
      <u/>
      <sz val="7.5"/>
      <color indexed="12"/>
      <name val="Arial"/>
      <family val="2"/>
    </font>
    <font>
      <b/>
      <sz val="10"/>
      <name val="Arial"/>
      <family val="2"/>
    </font>
    <font>
      <b/>
      <sz val="10"/>
      <color indexed="10"/>
      <name val="Arial"/>
      <family val="2"/>
    </font>
    <font>
      <sz val="10"/>
      <color indexed="12"/>
      <name val="Arial"/>
      <family val="2"/>
    </font>
    <font>
      <sz val="10"/>
      <color indexed="8"/>
      <name val="Arial"/>
      <family val="2"/>
    </font>
    <font>
      <b/>
      <sz val="10"/>
      <color indexed="12"/>
      <name val="Arial"/>
      <family val="2"/>
    </font>
    <font>
      <sz val="12"/>
      <color indexed="12"/>
      <name val="Arial"/>
      <family val="2"/>
    </font>
    <font>
      <b/>
      <sz val="10"/>
      <color indexed="8"/>
      <name val="Arial"/>
      <family val="2"/>
    </font>
    <font>
      <b/>
      <sz val="8"/>
      <color indexed="81"/>
      <name val="Tahoma"/>
      <family val="2"/>
    </font>
    <font>
      <sz val="8"/>
      <color indexed="81"/>
      <name val="Tahoma"/>
      <family val="2"/>
    </font>
    <font>
      <b/>
      <u/>
      <sz val="10"/>
      <name val="Arial"/>
      <family val="2"/>
    </font>
    <font>
      <b/>
      <i/>
      <sz val="10"/>
      <name val="Arial"/>
      <family val="2"/>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2"/>
        <bgColor indexed="24"/>
      </patternFill>
    </fill>
    <fill>
      <patternFill patternType="solid">
        <fgColor indexed="43"/>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right/>
      <top style="thin">
        <color indexed="23"/>
      </top>
      <bottom/>
      <diagonal/>
    </border>
    <border>
      <left/>
      <right/>
      <top/>
      <bottom style="thin">
        <color indexed="9"/>
      </bottom>
      <diagonal/>
    </border>
    <border>
      <left/>
      <right/>
      <top style="thin">
        <color indexed="9"/>
      </top>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9"/>
      </left>
      <right/>
      <top style="thin">
        <color indexed="9"/>
      </top>
      <bottom/>
      <diagonal/>
    </border>
    <border>
      <left style="thin">
        <color indexed="9"/>
      </left>
      <right/>
      <top/>
      <bottom/>
      <diagonal/>
    </border>
    <border>
      <left style="thin">
        <color indexed="9"/>
      </left>
      <right/>
      <top style="thin">
        <color indexed="9"/>
      </top>
      <bottom style="thin">
        <color indexed="23"/>
      </bottom>
      <diagonal/>
    </border>
    <border>
      <left style="thin">
        <color indexed="9"/>
      </left>
      <right/>
      <top style="thin">
        <color indexed="23"/>
      </top>
      <bottom/>
      <diagonal/>
    </border>
    <border>
      <left style="thin">
        <color indexed="9"/>
      </left>
      <right/>
      <top style="thin">
        <color indexed="23"/>
      </top>
      <bottom style="thin">
        <color indexed="9"/>
      </bottom>
      <diagonal/>
    </border>
    <border>
      <left/>
      <right/>
      <top/>
      <bottom style="thin">
        <color indexed="22"/>
      </bottom>
      <diagonal/>
    </border>
    <border>
      <left/>
      <right style="thin">
        <color indexed="22"/>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2" fillId="0" borderId="0" xfId="1" applyFont="1"/>
    <xf numFmtId="0" fontId="1" fillId="0" borderId="0" xfId="1"/>
    <xf numFmtId="0" fontId="3" fillId="0" borderId="0" xfId="2" applyAlignment="1" applyProtection="1"/>
    <xf numFmtId="0" fontId="4" fillId="0" borderId="0" xfId="1" applyFont="1"/>
    <xf numFmtId="164" fontId="1" fillId="0" borderId="0" xfId="1" applyNumberFormat="1" applyFont="1" applyFill="1" applyBorder="1"/>
    <xf numFmtId="0" fontId="1" fillId="0" borderId="0" xfId="1" applyFont="1" applyBorder="1"/>
    <xf numFmtId="0" fontId="1" fillId="2" borderId="0" xfId="1" applyFont="1" applyFill="1" applyBorder="1"/>
    <xf numFmtId="0" fontId="1" fillId="0" borderId="0" xfId="1" applyFont="1" applyFill="1" applyBorder="1"/>
    <xf numFmtId="0" fontId="1" fillId="2" borderId="0" xfId="1" applyFont="1" applyFill="1"/>
    <xf numFmtId="0" fontId="1" fillId="0" borderId="0" xfId="1" applyFont="1" applyFill="1"/>
    <xf numFmtId="0" fontId="3" fillId="0" borderId="0" xfId="2" applyBorder="1" applyAlignment="1" applyProtection="1"/>
    <xf numFmtId="0" fontId="1" fillId="3" borderId="0" xfId="1" applyFont="1" applyFill="1" applyBorder="1"/>
    <xf numFmtId="0" fontId="1" fillId="0" borderId="0" xfId="1" applyFont="1"/>
    <xf numFmtId="0" fontId="4" fillId="0" borderId="0" xfId="1" applyFont="1" applyAlignment="1">
      <alignment vertical="justify"/>
    </xf>
    <xf numFmtId="0" fontId="4" fillId="0" borderId="0" xfId="1" quotePrefix="1" applyFont="1" applyBorder="1" applyAlignment="1">
      <alignment horizontal="right"/>
    </xf>
    <xf numFmtId="0" fontId="4" fillId="2" borderId="0" xfId="1" applyFont="1" applyFill="1" applyAlignment="1">
      <alignment vertical="justify"/>
    </xf>
    <xf numFmtId="0" fontId="5" fillId="4" borderId="0" xfId="1" applyFont="1" applyFill="1" applyAlignment="1">
      <alignment vertical="justify"/>
    </xf>
    <xf numFmtId="0" fontId="4" fillId="0" borderId="0" xfId="1" applyFont="1" applyFill="1" applyAlignment="1">
      <alignment vertical="justify"/>
    </xf>
    <xf numFmtId="0" fontId="4" fillId="5" borderId="0" xfId="1" applyFont="1" applyFill="1" applyAlignment="1">
      <alignment vertical="justify"/>
    </xf>
    <xf numFmtId="0" fontId="1" fillId="0" borderId="0" xfId="1" applyFont="1" applyAlignment="1">
      <alignment horizontal="center"/>
    </xf>
    <xf numFmtId="0" fontId="1" fillId="0" borderId="0" xfId="1" applyFont="1" applyFill="1" applyAlignment="1">
      <alignment horizontal="center"/>
    </xf>
    <xf numFmtId="0" fontId="1" fillId="2" borderId="0" xfId="1" applyFont="1" applyFill="1" applyAlignment="1">
      <alignment horizontal="center"/>
    </xf>
    <xf numFmtId="0" fontId="1" fillId="6" borderId="0" xfId="1" applyFont="1" applyFill="1"/>
    <xf numFmtId="0" fontId="1" fillId="6" borderId="0" xfId="1" applyFont="1" applyFill="1" applyBorder="1"/>
    <xf numFmtId="3" fontId="1" fillId="6" borderId="0" xfId="1" applyNumberFormat="1" applyFont="1" applyFill="1"/>
    <xf numFmtId="3" fontId="1" fillId="0" borderId="0" xfId="1" applyNumberFormat="1" applyFont="1" applyFill="1"/>
    <xf numFmtId="0" fontId="1" fillId="6" borderId="0" xfId="1" applyFill="1"/>
    <xf numFmtId="165" fontId="1" fillId="2" borderId="0" xfId="1" applyNumberFormat="1" applyFont="1" applyFill="1" applyBorder="1"/>
    <xf numFmtId="165" fontId="1" fillId="0" borderId="0" xfId="1" applyNumberFormat="1" applyFont="1" applyFill="1" applyBorder="1"/>
    <xf numFmtId="165" fontId="1" fillId="0" borderId="0" xfId="1" applyNumberFormat="1" applyFont="1" applyFill="1"/>
    <xf numFmtId="165" fontId="1" fillId="2" borderId="0" xfId="1" applyNumberFormat="1" applyFont="1" applyFill="1"/>
    <xf numFmtId="165" fontId="1" fillId="0" borderId="0" xfId="1" applyNumberFormat="1" applyFont="1"/>
    <xf numFmtId="164" fontId="6" fillId="0" borderId="0" xfId="1" applyNumberFormat="1" applyFont="1" applyBorder="1"/>
    <xf numFmtId="166" fontId="6" fillId="0" borderId="0" xfId="1" applyNumberFormat="1" applyFont="1" applyFill="1"/>
    <xf numFmtId="165" fontId="6" fillId="0" borderId="0" xfId="1" applyNumberFormat="1" applyFont="1"/>
    <xf numFmtId="165" fontId="6" fillId="0" borderId="0" xfId="1" applyNumberFormat="1" applyFont="1" applyFill="1"/>
    <xf numFmtId="165" fontId="6" fillId="2" borderId="0" xfId="1" applyNumberFormat="1" applyFont="1" applyFill="1"/>
    <xf numFmtId="0" fontId="6" fillId="0" borderId="1" xfId="1" applyFont="1" applyBorder="1"/>
    <xf numFmtId="164" fontId="6" fillId="0" borderId="1" xfId="1" applyNumberFormat="1" applyFont="1" applyBorder="1"/>
    <xf numFmtId="165" fontId="6" fillId="2" borderId="1" xfId="1" applyNumberFormat="1" applyFont="1" applyFill="1" applyBorder="1"/>
    <xf numFmtId="165" fontId="6" fillId="0" borderId="1" xfId="1" applyNumberFormat="1" applyFont="1" applyFill="1" applyBorder="1"/>
    <xf numFmtId="166" fontId="6" fillId="0" borderId="1" xfId="1" applyNumberFormat="1" applyFont="1" applyFill="1" applyBorder="1"/>
    <xf numFmtId="165" fontId="6" fillId="0" borderId="1" xfId="1" applyNumberFormat="1" applyFont="1" applyBorder="1"/>
    <xf numFmtId="165" fontId="1" fillId="2" borderId="1" xfId="1" applyNumberFormat="1" applyFont="1" applyFill="1" applyBorder="1"/>
    <xf numFmtId="165" fontId="1" fillId="0" borderId="1" xfId="1" applyNumberFormat="1" applyFont="1" applyFill="1" applyBorder="1"/>
    <xf numFmtId="0" fontId="6" fillId="2" borderId="1" xfId="1" applyFont="1" applyFill="1" applyBorder="1"/>
    <xf numFmtId="0" fontId="6" fillId="0" borderId="1" xfId="1" applyFont="1" applyFill="1" applyBorder="1"/>
    <xf numFmtId="165" fontId="6" fillId="2" borderId="0" xfId="1" applyNumberFormat="1" applyFont="1" applyFill="1" applyBorder="1"/>
    <xf numFmtId="165" fontId="6" fillId="0" borderId="0" xfId="1" applyNumberFormat="1" applyFont="1" applyFill="1" applyBorder="1"/>
    <xf numFmtId="166" fontId="1" fillId="0" borderId="0" xfId="1" applyNumberFormat="1" applyFont="1" applyBorder="1"/>
    <xf numFmtId="165" fontId="1" fillId="0" borderId="0" xfId="1" applyNumberFormat="1" applyFont="1" applyBorder="1"/>
    <xf numFmtId="0" fontId="6" fillId="2" borderId="0" xfId="1" applyFont="1" applyFill="1" applyBorder="1"/>
    <xf numFmtId="0" fontId="6" fillId="0" borderId="0" xfId="1" applyFont="1" applyFill="1" applyBorder="1"/>
    <xf numFmtId="0" fontId="6" fillId="0" borderId="0" xfId="1" applyFont="1" applyBorder="1"/>
    <xf numFmtId="166" fontId="1" fillId="0" borderId="0" xfId="1" applyNumberFormat="1" applyFont="1" applyFill="1" applyBorder="1"/>
    <xf numFmtId="165" fontId="6" fillId="0" borderId="0" xfId="1" applyNumberFormat="1" applyFont="1" applyBorder="1"/>
    <xf numFmtId="166" fontId="6" fillId="0" borderId="0" xfId="1" applyNumberFormat="1" applyFont="1" applyFill="1" applyBorder="1"/>
    <xf numFmtId="0" fontId="1" fillId="0" borderId="1" xfId="1" applyFont="1" applyBorder="1"/>
    <xf numFmtId="164" fontId="1" fillId="0" borderId="1" xfId="1" applyNumberFormat="1" applyFont="1" applyBorder="1"/>
    <xf numFmtId="166" fontId="1" fillId="0" borderId="1" xfId="1" applyNumberFormat="1" applyFont="1" applyBorder="1"/>
    <xf numFmtId="165" fontId="1" fillId="0" borderId="1" xfId="1" applyNumberFormat="1" applyFont="1" applyBorder="1"/>
    <xf numFmtId="166" fontId="1" fillId="0" borderId="1" xfId="1" applyNumberFormat="1" applyFont="1" applyFill="1" applyBorder="1"/>
    <xf numFmtId="0" fontId="1" fillId="2" borderId="1" xfId="1" applyFont="1" applyFill="1" applyBorder="1"/>
    <xf numFmtId="0" fontId="1" fillId="0" borderId="1" xfId="1" applyFont="1" applyFill="1" applyBorder="1"/>
    <xf numFmtId="164" fontId="1" fillId="0" borderId="0" xfId="1" applyNumberFormat="1" applyFont="1" applyBorder="1"/>
    <xf numFmtId="167" fontId="6" fillId="0" borderId="0" xfId="1" applyNumberFormat="1" applyFont="1" applyBorder="1"/>
    <xf numFmtId="165" fontId="6" fillId="7" borderId="0" xfId="1" applyNumberFormat="1" applyFont="1" applyFill="1" applyBorder="1"/>
    <xf numFmtId="168" fontId="6" fillId="0" borderId="0" xfId="3" applyNumberFormat="1" applyFont="1" applyBorder="1"/>
    <xf numFmtId="0" fontId="7" fillId="0" borderId="0" xfId="1" applyFont="1" applyBorder="1"/>
    <xf numFmtId="164" fontId="6" fillId="0" borderId="0" xfId="1" applyNumberFormat="1" applyFont="1" applyFill="1" applyBorder="1"/>
    <xf numFmtId="166" fontId="1" fillId="0" borderId="0" xfId="1" applyNumberFormat="1" applyFont="1"/>
    <xf numFmtId="0" fontId="6" fillId="2" borderId="0" xfId="1" applyFont="1" applyFill="1"/>
    <xf numFmtId="0" fontId="6" fillId="0" borderId="0" xfId="1" applyFont="1" applyFill="1"/>
    <xf numFmtId="0" fontId="6" fillId="0" borderId="0" xfId="1" applyFont="1"/>
    <xf numFmtId="0" fontId="4" fillId="0" borderId="0" xfId="1" applyFont="1" applyBorder="1"/>
    <xf numFmtId="164" fontId="6" fillId="0" borderId="0" xfId="1" applyNumberFormat="1" applyFont="1"/>
    <xf numFmtId="166" fontId="1" fillId="0" borderId="0" xfId="1" applyNumberFormat="1" applyFont="1" applyFill="1"/>
    <xf numFmtId="164" fontId="1" fillId="0" borderId="1" xfId="1" applyNumberFormat="1" applyFont="1" applyFill="1" applyBorder="1"/>
    <xf numFmtId="0" fontId="8" fillId="0" borderId="0" xfId="1" applyFont="1" applyBorder="1"/>
    <xf numFmtId="165" fontId="6" fillId="0" borderId="0" xfId="3" applyNumberFormat="1" applyFont="1"/>
    <xf numFmtId="165" fontId="6" fillId="0" borderId="1" xfId="3" applyNumberFormat="1" applyFont="1" applyBorder="1"/>
    <xf numFmtId="164" fontId="6" fillId="0" borderId="1" xfId="1" applyNumberFormat="1" applyFont="1" applyFill="1" applyBorder="1"/>
    <xf numFmtId="165" fontId="6" fillId="4" borderId="0" xfId="1" applyNumberFormat="1" applyFont="1" applyFill="1"/>
    <xf numFmtId="9" fontId="4" fillId="0" borderId="0" xfId="4" applyFont="1"/>
    <xf numFmtId="9" fontId="1" fillId="0" borderId="0" xfId="4" applyFont="1"/>
    <xf numFmtId="165" fontId="1" fillId="2" borderId="0" xfId="4" applyNumberFormat="1" applyFont="1" applyFill="1" applyBorder="1"/>
    <xf numFmtId="165" fontId="1" fillId="0" borderId="0" xfId="4" applyNumberFormat="1" applyFont="1" applyFill="1" applyBorder="1"/>
    <xf numFmtId="165" fontId="1" fillId="0" borderId="0" xfId="4" applyNumberFormat="1" applyFont="1" applyFill="1"/>
    <xf numFmtId="165" fontId="1" fillId="2" borderId="0" xfId="4" applyNumberFormat="1" applyFont="1" applyFill="1"/>
    <xf numFmtId="165" fontId="1" fillId="0" borderId="0" xfId="4" applyNumberFormat="1" applyFont="1"/>
    <xf numFmtId="9" fontId="1" fillId="2" borderId="0" xfId="4" applyFont="1" applyFill="1"/>
    <xf numFmtId="9" fontId="1" fillId="0" borderId="0" xfId="4" applyFont="1" applyFill="1"/>
    <xf numFmtId="9" fontId="6" fillId="0" borderId="0" xfId="4" applyFont="1"/>
    <xf numFmtId="165" fontId="6" fillId="2" borderId="0" xfId="4" applyNumberFormat="1" applyFont="1" applyFill="1" applyBorder="1"/>
    <xf numFmtId="165" fontId="6" fillId="0" borderId="0" xfId="4" applyNumberFormat="1" applyFont="1" applyFill="1" applyBorder="1"/>
    <xf numFmtId="165" fontId="6" fillId="0" borderId="0" xfId="4" applyNumberFormat="1" applyFont="1" applyFill="1"/>
    <xf numFmtId="165" fontId="6" fillId="2" borderId="0" xfId="4" applyNumberFormat="1" applyFont="1" applyFill="1"/>
    <xf numFmtId="165" fontId="6" fillId="0" borderId="0" xfId="4" applyNumberFormat="1" applyFont="1"/>
    <xf numFmtId="165" fontId="6" fillId="0" borderId="0" xfId="3" applyNumberFormat="1" applyFont="1" applyFill="1"/>
    <xf numFmtId="165" fontId="6" fillId="2" borderId="0" xfId="3" applyNumberFormat="1" applyFont="1" applyFill="1"/>
    <xf numFmtId="9" fontId="6" fillId="2" borderId="0" xfId="4" applyFont="1" applyFill="1"/>
    <xf numFmtId="9" fontId="6" fillId="0" borderId="0" xfId="4" applyFont="1" applyFill="1"/>
    <xf numFmtId="168" fontId="6" fillId="0" borderId="0" xfId="3" applyNumberFormat="1" applyFont="1"/>
    <xf numFmtId="165" fontId="6" fillId="0" borderId="0" xfId="3" applyNumberFormat="1" applyFont="1" applyBorder="1"/>
    <xf numFmtId="165" fontId="6" fillId="0" borderId="0" xfId="3" applyNumberFormat="1" applyFont="1" applyFill="1" applyBorder="1"/>
    <xf numFmtId="3" fontId="6" fillId="2" borderId="0" xfId="1" applyNumberFormat="1" applyFont="1" applyFill="1" applyBorder="1"/>
    <xf numFmtId="3" fontId="6" fillId="0" borderId="0" xfId="1" applyNumberFormat="1" applyFont="1" applyFill="1" applyBorder="1"/>
    <xf numFmtId="37" fontId="1" fillId="0" borderId="0" xfId="1" applyNumberFormat="1" applyFont="1" applyFill="1"/>
    <xf numFmtId="37" fontId="6" fillId="2" borderId="0" xfId="1" applyNumberFormat="1" applyFont="1" applyFill="1"/>
    <xf numFmtId="37" fontId="6" fillId="0" borderId="0" xfId="1" applyNumberFormat="1" applyFont="1" applyFill="1"/>
    <xf numFmtId="37" fontId="1" fillId="0" borderId="0" xfId="1" applyNumberFormat="1" applyFont="1"/>
    <xf numFmtId="3" fontId="6" fillId="2" borderId="0" xfId="1" applyNumberFormat="1" applyFont="1" applyFill="1"/>
    <xf numFmtId="3" fontId="6" fillId="0" borderId="0" xfId="1" applyNumberFormat="1" applyFont="1" applyFill="1"/>
    <xf numFmtId="37" fontId="1" fillId="2" borderId="0" xfId="1" applyNumberFormat="1" applyFont="1" applyFill="1"/>
    <xf numFmtId="0" fontId="4" fillId="0" borderId="1" xfId="1" applyFont="1" applyBorder="1"/>
    <xf numFmtId="164" fontId="1" fillId="0" borderId="0" xfId="1" applyNumberFormat="1" applyFont="1"/>
    <xf numFmtId="3" fontId="1" fillId="2" borderId="0" xfId="1" applyNumberFormat="1" applyFont="1" applyFill="1" applyBorder="1"/>
    <xf numFmtId="3" fontId="1" fillId="0" borderId="0" xfId="1" applyNumberFormat="1" applyFont="1" applyFill="1" applyBorder="1"/>
    <xf numFmtId="3" fontId="1" fillId="2" borderId="0" xfId="1" applyNumberFormat="1" applyFont="1" applyFill="1"/>
    <xf numFmtId="37" fontId="6" fillId="0" borderId="0" xfId="1" applyNumberFormat="1" applyFont="1"/>
    <xf numFmtId="164" fontId="4" fillId="0" borderId="0" xfId="1" applyNumberFormat="1" applyFont="1"/>
    <xf numFmtId="0" fontId="6" fillId="0" borderId="0" xfId="1" applyFont="1" applyAlignment="1">
      <alignment vertical="justify"/>
    </xf>
    <xf numFmtId="0" fontId="6" fillId="2" borderId="0" xfId="1" applyFont="1" applyFill="1" applyAlignment="1">
      <alignment vertical="justify"/>
    </xf>
    <xf numFmtId="0" fontId="6" fillId="0" borderId="0" xfId="1" applyFont="1" applyFill="1" applyAlignment="1">
      <alignment vertical="justify"/>
    </xf>
    <xf numFmtId="9" fontId="1" fillId="2" borderId="0" xfId="4" applyFont="1" applyFill="1" applyBorder="1"/>
    <xf numFmtId="9" fontId="1" fillId="0" borderId="0" xfId="4" applyFont="1" applyFill="1" applyBorder="1"/>
    <xf numFmtId="169" fontId="1" fillId="0" borderId="0" xfId="4" applyNumberFormat="1" applyFont="1"/>
    <xf numFmtId="169" fontId="1" fillId="0" borderId="0" xfId="4" applyNumberFormat="1" applyFont="1" applyFill="1"/>
    <xf numFmtId="9" fontId="1" fillId="0" borderId="0" xfId="4" applyFont="1" applyAlignment="1">
      <alignment vertical="justify"/>
    </xf>
    <xf numFmtId="10" fontId="1" fillId="0" borderId="0" xfId="4" applyNumberFormat="1" applyFont="1"/>
    <xf numFmtId="10" fontId="1" fillId="0" borderId="0" xfId="4" applyNumberFormat="1" applyFont="1" applyFill="1"/>
    <xf numFmtId="9" fontId="6" fillId="2" borderId="0" xfId="4" applyFont="1" applyFill="1" applyBorder="1"/>
    <xf numFmtId="9" fontId="6" fillId="0" borderId="0" xfId="4" applyFont="1" applyFill="1" applyBorder="1"/>
    <xf numFmtId="9" fontId="8" fillId="0" borderId="0" xfId="4" applyFont="1" applyAlignment="1"/>
    <xf numFmtId="9" fontId="4" fillId="0" borderId="0" xfId="4" applyFont="1" applyAlignment="1"/>
    <xf numFmtId="9" fontId="4" fillId="2" borderId="0" xfId="4" applyFont="1" applyFill="1" applyBorder="1" applyAlignment="1"/>
    <xf numFmtId="9" fontId="4" fillId="0" borderId="0" xfId="4" applyFont="1" applyFill="1" applyBorder="1" applyAlignment="1"/>
    <xf numFmtId="9" fontId="4" fillId="0" borderId="0" xfId="4" applyFont="1" applyFill="1" applyAlignment="1"/>
    <xf numFmtId="9" fontId="4" fillId="2" borderId="0" xfId="4" applyFont="1" applyFill="1" applyAlignment="1"/>
    <xf numFmtId="0" fontId="4" fillId="0" borderId="0" xfId="1" applyFont="1" applyAlignment="1"/>
    <xf numFmtId="0" fontId="4" fillId="0" borderId="0" xfId="1" applyFont="1" applyFill="1" applyAlignment="1"/>
    <xf numFmtId="9" fontId="9" fillId="0" borderId="0" xfId="4" applyFont="1"/>
    <xf numFmtId="9" fontId="2" fillId="0" borderId="0" xfId="4" applyFont="1"/>
    <xf numFmtId="164" fontId="4" fillId="0" borderId="0" xfId="1" applyNumberFormat="1" applyFont="1" applyFill="1" applyBorder="1"/>
    <xf numFmtId="9" fontId="2" fillId="6" borderId="0" xfId="4" applyFont="1" applyFill="1"/>
    <xf numFmtId="9" fontId="1" fillId="6" borderId="0" xfId="4" applyFont="1" applyFill="1"/>
    <xf numFmtId="9" fontId="1" fillId="6" borderId="0" xfId="4" applyFont="1" applyFill="1" applyBorder="1"/>
    <xf numFmtId="0" fontId="10" fillId="8" borderId="0" xfId="1" applyFont="1" applyFill="1" applyBorder="1" applyAlignment="1">
      <alignment horizontal="left"/>
    </xf>
    <xf numFmtId="0" fontId="7" fillId="8" borderId="2" xfId="1" applyFont="1" applyFill="1" applyBorder="1" applyAlignment="1">
      <alignment vertical="center"/>
    </xf>
    <xf numFmtId="37" fontId="1" fillId="0" borderId="0" xfId="4" applyNumberFormat="1" applyFont="1"/>
    <xf numFmtId="3" fontId="1" fillId="2" borderId="0" xfId="4" applyNumberFormat="1" applyFont="1" applyFill="1"/>
    <xf numFmtId="3" fontId="1" fillId="0" borderId="0" xfId="4" applyNumberFormat="1" applyFont="1" applyFill="1"/>
    <xf numFmtId="37" fontId="1" fillId="0" borderId="0" xfId="4" applyNumberFormat="1" applyFont="1" applyFill="1"/>
    <xf numFmtId="10" fontId="1" fillId="2" borderId="0" xfId="4" applyNumberFormat="1" applyFont="1" applyFill="1"/>
    <xf numFmtId="0" fontId="7" fillId="8" borderId="3" xfId="1" applyFont="1" applyFill="1" applyBorder="1" applyAlignment="1">
      <alignment vertical="center"/>
    </xf>
    <xf numFmtId="0" fontId="7" fillId="8" borderId="4" xfId="1" applyFont="1" applyFill="1" applyBorder="1" applyAlignment="1">
      <alignment vertical="center"/>
    </xf>
    <xf numFmtId="0" fontId="7" fillId="8" borderId="0" xfId="1" applyFont="1" applyFill="1" applyBorder="1" applyAlignment="1">
      <alignment vertical="center"/>
    </xf>
    <xf numFmtId="0" fontId="1" fillId="0" borderId="0" xfId="4" applyNumberFormat="1" applyFont="1"/>
    <xf numFmtId="0" fontId="7" fillId="8" borderId="5" xfId="1" applyFont="1" applyFill="1" applyBorder="1" applyAlignment="1">
      <alignment vertical="center"/>
    </xf>
    <xf numFmtId="0" fontId="7" fillId="8" borderId="6" xfId="1" applyFont="1" applyFill="1" applyBorder="1" applyAlignment="1">
      <alignment vertical="center"/>
    </xf>
    <xf numFmtId="170" fontId="6" fillId="0" borderId="0" xfId="1" applyNumberFormat="1" applyFont="1"/>
    <xf numFmtId="9" fontId="1" fillId="0" borderId="0" xfId="4" applyFont="1" applyAlignment="1"/>
    <xf numFmtId="0" fontId="1" fillId="0" borderId="0" xfId="1" applyFill="1" applyAlignment="1">
      <alignment horizontal="left" vertical="center"/>
    </xf>
    <xf numFmtId="166" fontId="1" fillId="0" borderId="0" xfId="4" applyNumberFormat="1" applyFont="1" applyFill="1"/>
    <xf numFmtId="0" fontId="7" fillId="8" borderId="7" xfId="1" applyFont="1" applyFill="1" applyBorder="1" applyAlignment="1">
      <alignment vertical="center"/>
    </xf>
    <xf numFmtId="0" fontId="7" fillId="8" borderId="8" xfId="1" applyFont="1" applyFill="1" applyBorder="1" applyAlignment="1">
      <alignment vertical="center"/>
    </xf>
    <xf numFmtId="0" fontId="7" fillId="8" borderId="9" xfId="1" applyFont="1" applyFill="1" applyBorder="1" applyAlignment="1">
      <alignment vertical="center"/>
    </xf>
    <xf numFmtId="0" fontId="7" fillId="8" borderId="10" xfId="1" applyFont="1" applyFill="1" applyBorder="1" applyAlignment="1">
      <alignment vertical="center"/>
    </xf>
    <xf numFmtId="0" fontId="7" fillId="8" borderId="11" xfId="1" applyFont="1" applyFill="1" applyBorder="1" applyAlignment="1">
      <alignment vertical="center"/>
    </xf>
    <xf numFmtId="166" fontId="1" fillId="7" borderId="0" xfId="1" applyNumberFormat="1" applyFont="1" applyFill="1" applyBorder="1"/>
    <xf numFmtId="171" fontId="1" fillId="0" borderId="0" xfId="3" applyNumberFormat="1" applyFont="1"/>
    <xf numFmtId="168" fontId="1" fillId="2" borderId="0" xfId="3" applyNumberFormat="1" applyFont="1" applyFill="1"/>
    <xf numFmtId="168" fontId="1" fillId="0" borderId="0" xfId="3" applyNumberFormat="1" applyFont="1" applyFill="1"/>
    <xf numFmtId="168" fontId="1" fillId="0" borderId="0" xfId="3" applyNumberFormat="1" applyFont="1"/>
    <xf numFmtId="0" fontId="7" fillId="0" borderId="0" xfId="1" applyFont="1" applyFill="1" applyBorder="1" applyAlignment="1">
      <alignment vertical="center"/>
    </xf>
    <xf numFmtId="0" fontId="1" fillId="0" borderId="0" xfId="1" applyFill="1"/>
    <xf numFmtId="3" fontId="6" fillId="0" borderId="0" xfId="1" applyNumberFormat="1" applyFont="1"/>
    <xf numFmtId="170" fontId="6" fillId="6" borderId="0" xfId="1" applyNumberFormat="1" applyFont="1" applyFill="1"/>
    <xf numFmtId="3" fontId="6" fillId="6" borderId="0" xfId="1" applyNumberFormat="1" applyFont="1" applyFill="1" applyBorder="1"/>
    <xf numFmtId="3" fontId="6" fillId="6" borderId="0" xfId="1" applyNumberFormat="1" applyFont="1" applyFill="1"/>
    <xf numFmtId="37" fontId="1" fillId="6" borderId="0" xfId="1" applyNumberFormat="1" applyFont="1" applyFill="1"/>
    <xf numFmtId="0" fontId="1" fillId="0" borderId="0" xfId="1" applyNumberFormat="1" applyFont="1"/>
    <xf numFmtId="0" fontId="1" fillId="0" borderId="0" xfId="1" applyNumberFormat="1" applyFont="1" applyBorder="1"/>
    <xf numFmtId="0" fontId="1" fillId="2" borderId="0" xfId="1" applyNumberFormat="1" applyFont="1" applyFill="1"/>
    <xf numFmtId="0" fontId="1" fillId="0" borderId="0" xfId="1" applyNumberFormat="1" applyFont="1" applyFill="1"/>
    <xf numFmtId="0" fontId="1" fillId="0" borderId="0" xfId="1" applyNumberFormat="1"/>
    <xf numFmtId="170" fontId="1" fillId="0" borderId="0" xfId="1" applyNumberFormat="1" applyFont="1"/>
    <xf numFmtId="170" fontId="1" fillId="0" borderId="0" xfId="1" applyNumberFormat="1" applyFont="1" applyBorder="1"/>
    <xf numFmtId="3" fontId="1" fillId="0" borderId="0" xfId="4" applyNumberFormat="1" applyFont="1" applyFill="1" applyBorder="1"/>
    <xf numFmtId="3" fontId="1" fillId="0" borderId="0" xfId="4" applyNumberFormat="1" applyFont="1" applyBorder="1"/>
    <xf numFmtId="170" fontId="1" fillId="2" borderId="0" xfId="1" applyNumberFormat="1" applyFont="1" applyFill="1"/>
    <xf numFmtId="170" fontId="1" fillId="0" borderId="0" xfId="1" applyNumberFormat="1" applyFont="1" applyFill="1"/>
    <xf numFmtId="3" fontId="1" fillId="2" borderId="0" xfId="4" applyNumberFormat="1" applyFont="1" applyFill="1" applyBorder="1"/>
    <xf numFmtId="0" fontId="1" fillId="0" borderId="0" xfId="1" applyFont="1" applyAlignment="1">
      <alignment vertical="justify"/>
    </xf>
    <xf numFmtId="0" fontId="1" fillId="2" borderId="0" xfId="1" applyFont="1" applyFill="1" applyAlignment="1">
      <alignment vertical="justify"/>
    </xf>
    <xf numFmtId="0" fontId="1" fillId="0" borderId="0" xfId="1" applyFont="1" applyFill="1" applyAlignment="1">
      <alignment vertical="justify"/>
    </xf>
    <xf numFmtId="166" fontId="6" fillId="0" borderId="0" xfId="1" applyNumberFormat="1" applyFont="1" applyBorder="1"/>
    <xf numFmtId="1" fontId="6" fillId="0" borderId="0" xfId="1" applyNumberFormat="1" applyFont="1" applyBorder="1"/>
    <xf numFmtId="168" fontId="6" fillId="0" borderId="0" xfId="3" applyNumberFormat="1" applyFont="1" applyFill="1" applyBorder="1"/>
    <xf numFmtId="3" fontId="6" fillId="0" borderId="0" xfId="3" applyNumberFormat="1" applyFont="1"/>
    <xf numFmtId="170" fontId="2" fillId="6" borderId="0" xfId="1" applyNumberFormat="1" applyFont="1" applyFill="1"/>
    <xf numFmtId="4" fontId="1" fillId="0" borderId="0" xfId="1" applyNumberFormat="1" applyFont="1"/>
    <xf numFmtId="3" fontId="1" fillId="0" borderId="0" xfId="1" applyNumberFormat="1" applyFont="1"/>
    <xf numFmtId="4" fontId="1" fillId="0" borderId="0" xfId="4" applyNumberFormat="1" applyFont="1" applyBorder="1"/>
    <xf numFmtId="172" fontId="6" fillId="0" borderId="0" xfId="3" applyNumberFormat="1" applyFont="1" applyBorder="1"/>
    <xf numFmtId="165" fontId="6" fillId="0" borderId="0" xfId="1" applyNumberFormat="1" applyFont="1" applyAlignment="1">
      <alignment vertical="justify"/>
    </xf>
    <xf numFmtId="9" fontId="4" fillId="6" borderId="0" xfId="4" applyFont="1" applyFill="1"/>
    <xf numFmtId="166" fontId="1" fillId="5" borderId="0" xfId="1" applyNumberFormat="1" applyFont="1" applyFill="1" applyBorder="1"/>
    <xf numFmtId="0" fontId="4" fillId="3" borderId="0" xfId="1" applyFont="1" applyFill="1" applyAlignment="1">
      <alignment vertical="justify"/>
    </xf>
    <xf numFmtId="173" fontId="1" fillId="0" borderId="0" xfId="4" applyNumberFormat="1" applyFont="1" applyBorder="1"/>
    <xf numFmtId="0" fontId="1" fillId="0" borderId="0" xfId="1" applyAlignment="1"/>
    <xf numFmtId="0" fontId="5" fillId="0" borderId="0" xfId="1" applyFont="1"/>
    <xf numFmtId="0" fontId="13" fillId="0" borderId="0" xfId="1" applyFont="1" applyAlignment="1">
      <alignment horizontal="center"/>
    </xf>
    <xf numFmtId="0" fontId="14" fillId="0" borderId="0" xfId="1" applyFont="1" applyAlignment="1">
      <alignment horizontal="right"/>
    </xf>
    <xf numFmtId="0" fontId="14" fillId="0" borderId="0" xfId="1" applyFont="1"/>
    <xf numFmtId="0" fontId="7" fillId="9" borderId="0" xfId="1" applyFont="1" applyFill="1" applyBorder="1" applyAlignment="1">
      <alignment horizontal="center" vertical="center" wrapText="1"/>
    </xf>
    <xf numFmtId="0" fontId="7" fillId="9" borderId="12" xfId="1" applyFont="1" applyFill="1" applyBorder="1" applyAlignment="1">
      <alignment horizontal="center" textRotation="90" wrapText="1"/>
    </xf>
    <xf numFmtId="0" fontId="7" fillId="0" borderId="0" xfId="1" applyFont="1" applyFill="1" applyBorder="1" applyAlignment="1">
      <alignment textRotation="90" wrapText="1"/>
    </xf>
    <xf numFmtId="0" fontId="1" fillId="9" borderId="13" xfId="1" applyFill="1" applyBorder="1"/>
    <xf numFmtId="10" fontId="1" fillId="0" borderId="0" xfId="1" applyNumberFormat="1"/>
    <xf numFmtId="174" fontId="1" fillId="0" borderId="0" xfId="1" applyNumberFormat="1"/>
    <xf numFmtId="0" fontId="1" fillId="10" borderId="0" xfId="1" applyFont="1" applyFill="1" applyAlignment="1">
      <alignment horizontal="center"/>
    </xf>
    <xf numFmtId="0" fontId="1" fillId="10" borderId="14" xfId="1" applyFont="1" applyFill="1" applyBorder="1" applyAlignment="1">
      <alignment horizontal="center"/>
    </xf>
    <xf numFmtId="0" fontId="1" fillId="10" borderId="14" xfId="1" applyFont="1" applyFill="1" applyBorder="1" applyAlignment="1">
      <alignment horizontal="center"/>
    </xf>
  </cellXfs>
  <cellStyles count="5">
    <cellStyle name="Comma 2" xfId="3"/>
    <cellStyle name="Hyperlink" xfId="2" builtinId="8"/>
    <cellStyle name="Normal" xfId="0" builtinId="0"/>
    <cellStyle name="Normal 2" xfId="1"/>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85725</xdr:rowOff>
    </xdr:from>
    <xdr:to>
      <xdr:col>7</xdr:col>
      <xdr:colOff>276225</xdr:colOff>
      <xdr:row>24</xdr:row>
      <xdr:rowOff>152400</xdr:rowOff>
    </xdr:to>
    <xdr:sp macro="" textlink="">
      <xdr:nvSpPr>
        <xdr:cNvPr id="2" name="Text Box 1"/>
        <xdr:cNvSpPr txBox="1">
          <a:spLocks noChangeArrowheads="1"/>
        </xdr:cNvSpPr>
      </xdr:nvSpPr>
      <xdr:spPr bwMode="auto">
        <a:xfrm>
          <a:off x="57150" y="1743075"/>
          <a:ext cx="4486275" cy="2333625"/>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1">
            <a:defRPr sz="1000"/>
          </a:pPr>
          <a:r>
            <a:rPr lang="en-US" altLang="zh-CN" sz="1000" b="0" i="0" strike="noStrike">
              <a:solidFill>
                <a:srgbClr val="000000"/>
              </a:solidFill>
              <a:latin typeface="Arial"/>
              <a:cs typeface="Arial"/>
            </a:rPr>
            <a:t>Extract the data items of rows 81 - 136 (summary statistics) in the light blue raw data tables for the NBFI sample shown in the yellow 'Sample' sheet for the year ending 2004. These data should be shown as a table with NBFIs in rows and data items as column headings.</a:t>
          </a:r>
        </a:p>
        <a:p>
          <a:pPr algn="l" rtl="1">
            <a:defRPr sz="1000"/>
          </a:pPr>
          <a:endParaRPr lang="en-US" altLang="zh-CN" sz="1000" b="0" i="0" strike="noStrike">
            <a:solidFill>
              <a:srgbClr val="000000"/>
            </a:solidFill>
            <a:latin typeface="Arial"/>
            <a:cs typeface="Arial"/>
          </a:endParaRPr>
        </a:p>
        <a:p>
          <a:pPr algn="l" rtl="1">
            <a:defRPr sz="1000"/>
          </a:pPr>
          <a:r>
            <a:rPr lang="en-US" altLang="zh-CN" sz="1000" b="0" i="0" strike="noStrike">
              <a:solidFill>
                <a:srgbClr val="000000"/>
              </a:solidFill>
              <a:latin typeface="Arial"/>
              <a:cs typeface="Arial"/>
            </a:rPr>
            <a:t>Required:</a:t>
          </a:r>
        </a:p>
        <a:p>
          <a:pPr algn="l" rtl="1">
            <a:defRPr sz="1000"/>
          </a:pPr>
          <a:r>
            <a:rPr lang="en-US" altLang="zh-CN" sz="1000" b="0" i="0" strike="noStrike">
              <a:solidFill>
                <a:srgbClr val="000000"/>
              </a:solidFill>
              <a:latin typeface="Arial"/>
              <a:cs typeface="Arial"/>
            </a:rPr>
            <a:t>Use suitable lookup functions to create this table in a sheet named 'Summary' </a:t>
          </a:r>
          <a:r>
            <a:rPr lang="en-US" altLang="zh-CN" sz="1000" b="1" i="0" strike="noStrike">
              <a:solidFill>
                <a:srgbClr val="000000"/>
              </a:solidFill>
              <a:latin typeface="Arial"/>
              <a:cs typeface="Arial"/>
            </a:rPr>
            <a:t>dynamically linked</a:t>
          </a:r>
          <a:r>
            <a:rPr lang="en-US" altLang="zh-CN" sz="1000" b="0" i="0" strike="noStrike">
              <a:solidFill>
                <a:srgbClr val="000000"/>
              </a:solidFill>
              <a:latin typeface="Arial"/>
              <a:cs typeface="Arial"/>
            </a:rPr>
            <a:t> to the data source. An example layout is shown in the table to the right. Dynamically linked means, for instance, the data for 2003 are shown if we change the input year.</a:t>
          </a:r>
        </a:p>
        <a:p>
          <a:pPr algn="l" rtl="1">
            <a:defRPr sz="1000"/>
          </a:pPr>
          <a:endParaRPr lang="en-US" altLang="zh-CN" sz="1000" b="0" i="0" strike="noStrike">
            <a:solidFill>
              <a:srgbClr val="000000"/>
            </a:solidFill>
            <a:latin typeface="Arial"/>
            <a:cs typeface="Arial"/>
          </a:endParaRPr>
        </a:p>
        <a:p>
          <a:pPr algn="l" rtl="1">
            <a:defRPr sz="1000"/>
          </a:pPr>
          <a:r>
            <a:rPr lang="en-US" altLang="zh-CN" sz="1000" b="0" i="0" strike="noStrike">
              <a:solidFill>
                <a:srgbClr val="000000"/>
              </a:solidFill>
              <a:latin typeface="Arial"/>
              <a:cs typeface="Arial"/>
            </a:rPr>
            <a:t>Maximum marks for tidy, dynamically linked smart solutions.</a:t>
          </a:r>
        </a:p>
        <a:p>
          <a:pPr algn="l" rtl="1">
            <a:defRPr sz="1000"/>
          </a:pPr>
          <a:r>
            <a:rPr lang="en-US" altLang="zh-CN" sz="1000" b="0" i="0" strike="noStrike">
              <a:solidFill>
                <a:srgbClr val="000000"/>
              </a:solidFill>
              <a:latin typeface="Arial"/>
              <a:cs typeface="Arial"/>
            </a:rPr>
            <a:t>Manual solutions (without link) will obtain half of the maximum mark.</a:t>
          </a:r>
        </a:p>
      </xdr:txBody>
    </xdr:sp>
    <xdr:clientData/>
  </xdr:twoCellAnchor>
  <xdr:twoCellAnchor>
    <xdr:from>
      <xdr:col>0</xdr:col>
      <xdr:colOff>57150</xdr:colOff>
      <xdr:row>1</xdr:row>
      <xdr:rowOff>57150</xdr:rowOff>
    </xdr:from>
    <xdr:to>
      <xdr:col>7</xdr:col>
      <xdr:colOff>180975</xdr:colOff>
      <xdr:row>5</xdr:row>
      <xdr:rowOff>95250</xdr:rowOff>
    </xdr:to>
    <xdr:sp macro="" textlink="">
      <xdr:nvSpPr>
        <xdr:cNvPr id="3" name="Text Box 2"/>
        <xdr:cNvSpPr txBox="1">
          <a:spLocks noChangeArrowheads="1"/>
        </xdr:cNvSpPr>
      </xdr:nvSpPr>
      <xdr:spPr bwMode="auto">
        <a:xfrm>
          <a:off x="57150" y="257175"/>
          <a:ext cx="4391025" cy="685800"/>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1">
            <a:defRPr sz="1000"/>
          </a:pPr>
          <a:r>
            <a:rPr lang="en-US" altLang="zh-CN" sz="1000" b="0" i="0" strike="noStrike">
              <a:solidFill>
                <a:srgbClr val="000000"/>
              </a:solidFill>
              <a:latin typeface="Arial"/>
              <a:cs typeface="Arial"/>
            </a:rPr>
            <a:t>Assume these are financial data that have been extracted by your research assistant from prospectuses of New Zealand Non-bank Financial Institutions (NBFIs). The data are organized by alphabet in the blue sheet tabs A-G etc. </a:t>
          </a:r>
        </a:p>
      </xdr:txBody>
    </xdr:sp>
    <xdr:clientData/>
  </xdr:twoCellAnchor>
  <xdr:twoCellAnchor editAs="absolute">
    <xdr:from>
      <xdr:col>9</xdr:col>
      <xdr:colOff>76200</xdr:colOff>
      <xdr:row>10</xdr:row>
      <xdr:rowOff>19050</xdr:rowOff>
    </xdr:from>
    <xdr:to>
      <xdr:col>14</xdr:col>
      <xdr:colOff>504825</xdr:colOff>
      <xdr:row>22</xdr:row>
      <xdr:rowOff>76200</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1676400"/>
          <a:ext cx="3476625" cy="2000250"/>
        </a:xfrm>
        <a:prstGeom prst="rect">
          <a:avLst/>
        </a:prstGeom>
        <a:solidFill>
          <a:srgbClr val="FFFFFF"/>
        </a:solidFill>
        <a:ln w="9525">
          <a:solidFill>
            <a:srgbClr val="000000"/>
          </a:solidFill>
          <a:miter lim="800000"/>
          <a:headEnd/>
          <a:tailEnd/>
        </a:ln>
      </xdr:spPr>
    </xdr:pic>
    <xdr:clientData/>
  </xdr:twoCellAnchor>
  <xdr:twoCellAnchor>
    <xdr:from>
      <xdr:col>0</xdr:col>
      <xdr:colOff>57150</xdr:colOff>
      <xdr:row>27</xdr:row>
      <xdr:rowOff>57150</xdr:rowOff>
    </xdr:from>
    <xdr:to>
      <xdr:col>7</xdr:col>
      <xdr:colOff>276225</xdr:colOff>
      <xdr:row>43</xdr:row>
      <xdr:rowOff>47625</xdr:rowOff>
    </xdr:to>
    <xdr:sp macro="" textlink="">
      <xdr:nvSpPr>
        <xdr:cNvPr id="5" name="Text Box 5"/>
        <xdr:cNvSpPr txBox="1">
          <a:spLocks noChangeArrowheads="1"/>
        </xdr:cNvSpPr>
      </xdr:nvSpPr>
      <xdr:spPr bwMode="auto">
        <a:xfrm>
          <a:off x="57150" y="4467225"/>
          <a:ext cx="4486275" cy="2581275"/>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1">
            <a:defRPr sz="1000"/>
          </a:pPr>
          <a:r>
            <a:rPr lang="en-US" altLang="zh-CN" sz="1000" b="0" i="0" strike="noStrike">
              <a:solidFill>
                <a:srgbClr val="000000"/>
              </a:solidFill>
              <a:latin typeface="Arial"/>
              <a:cs typeface="Arial"/>
            </a:rPr>
            <a:t>Insert another worksheet into the workbook and use it to prepare the following summary statistics of the sample.</a:t>
          </a:r>
        </a:p>
        <a:p>
          <a:pPr algn="l" rtl="1">
            <a:defRPr sz="1000"/>
          </a:pPr>
          <a:endParaRPr lang="en-US" altLang="zh-CN" sz="1000" b="0" i="0" strike="noStrike">
            <a:solidFill>
              <a:srgbClr val="000000"/>
            </a:solidFill>
            <a:latin typeface="Arial"/>
            <a:cs typeface="Arial"/>
          </a:endParaRPr>
        </a:p>
        <a:p>
          <a:pPr algn="l" rtl="1">
            <a:defRPr sz="1000"/>
          </a:pPr>
          <a:r>
            <a:rPr lang="en-US" altLang="zh-CN" sz="1000" b="0" i="0" strike="noStrike">
              <a:solidFill>
                <a:srgbClr val="000000"/>
              </a:solidFill>
              <a:latin typeface="Arial"/>
              <a:cs typeface="Arial"/>
            </a:rPr>
            <a:t>Determine for full sample and each lending category (see sheet 'Lending category')</a:t>
          </a:r>
        </a:p>
        <a:p>
          <a:pPr algn="l" rtl="1">
            <a:defRPr sz="1000"/>
          </a:pPr>
          <a:r>
            <a:rPr lang="en-US" altLang="zh-CN" sz="1000" b="0" i="0" strike="noStrike">
              <a:solidFill>
                <a:srgbClr val="000000"/>
              </a:solidFill>
              <a:latin typeface="Arial"/>
              <a:cs typeface="Arial"/>
            </a:rPr>
            <a:t>sum, mean, standard deviation, minimum, maximum, number of observations for the 5 data item to the right. Only calculate those statistics which make sense, i.e. it is not meaningful to calculate the sum of a ratio.</a:t>
          </a:r>
        </a:p>
        <a:p>
          <a:pPr algn="l" rtl="1">
            <a:defRPr sz="1000"/>
          </a:pPr>
          <a:endParaRPr lang="en-US" altLang="zh-CN" sz="1000" b="0" i="0" strike="noStrike">
            <a:solidFill>
              <a:srgbClr val="000000"/>
            </a:solidFill>
            <a:latin typeface="Arial"/>
            <a:cs typeface="Arial"/>
          </a:endParaRPr>
        </a:p>
        <a:p>
          <a:pPr algn="l" rtl="1">
            <a:defRPr sz="1000"/>
          </a:pPr>
          <a:r>
            <a:rPr lang="en-US" altLang="zh-CN" sz="1000" b="0" i="0" strike="noStrike">
              <a:solidFill>
                <a:srgbClr val="000000"/>
              </a:solidFill>
              <a:latin typeface="Arial"/>
              <a:cs typeface="Arial"/>
            </a:rPr>
            <a:t>Hint: Excel's Pivot table features provides quick results.</a:t>
          </a:r>
        </a:p>
        <a:p>
          <a:pPr algn="l" rtl="1">
            <a:defRPr sz="1000"/>
          </a:pPr>
          <a:r>
            <a:rPr lang="en-US" altLang="zh-CN" sz="1000" b="0" i="0" strike="noStrike">
              <a:solidFill>
                <a:srgbClr val="000000"/>
              </a:solidFill>
              <a:latin typeface="Arial"/>
              <a:cs typeface="Arial"/>
            </a:rPr>
            <a:t>Comment: If you duplicate data for this analysis, there is no requirement for it to be dynamically linked to the source data.</a:t>
          </a:r>
        </a:p>
        <a:p>
          <a:pPr algn="l" rtl="1">
            <a:defRPr sz="1000"/>
          </a:pPr>
          <a:r>
            <a:rPr lang="en-US" altLang="zh-CN" sz="1000" b="0" i="0" strike="noStrike">
              <a:solidFill>
                <a:srgbClr val="000000"/>
              </a:solidFill>
              <a:latin typeface="Arial"/>
              <a:cs typeface="Arial"/>
            </a:rPr>
            <a:t>Full marks for appropriate formatting.</a:t>
          </a:r>
        </a:p>
      </xdr:txBody>
    </xdr:sp>
    <xdr:clientData/>
  </xdr:twoCellAnchor>
  <xdr:twoCellAnchor>
    <xdr:from>
      <xdr:col>0</xdr:col>
      <xdr:colOff>57150</xdr:colOff>
      <xdr:row>46</xdr:row>
      <xdr:rowOff>76200</xdr:rowOff>
    </xdr:from>
    <xdr:to>
      <xdr:col>7</xdr:col>
      <xdr:colOff>276225</xdr:colOff>
      <xdr:row>54</xdr:row>
      <xdr:rowOff>28575</xdr:rowOff>
    </xdr:to>
    <xdr:sp macro="" textlink="">
      <xdr:nvSpPr>
        <xdr:cNvPr id="6" name="Text Box 6"/>
        <xdr:cNvSpPr txBox="1">
          <a:spLocks noChangeArrowheads="1"/>
        </xdr:cNvSpPr>
      </xdr:nvSpPr>
      <xdr:spPr bwMode="auto">
        <a:xfrm>
          <a:off x="57150" y="7562850"/>
          <a:ext cx="4486275" cy="1247775"/>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1">
            <a:defRPr sz="1000"/>
          </a:pPr>
          <a:r>
            <a:rPr lang="en-US" altLang="zh-CN" sz="1000" b="0" i="0" strike="noStrike">
              <a:solidFill>
                <a:srgbClr val="000000"/>
              </a:solidFill>
              <a:latin typeface="Arial"/>
              <a:cs typeface="Arial"/>
            </a:rPr>
            <a:t>Attempt to create a histogram similar to the one on the right for the NBFIs in sheet 'Sample'.</a:t>
          </a:r>
        </a:p>
        <a:p>
          <a:pPr algn="l" rtl="1">
            <a:defRPr sz="1000"/>
          </a:pPr>
          <a:r>
            <a:rPr lang="en-US" altLang="zh-CN" sz="1000" b="0" i="0" strike="noStrike">
              <a:solidFill>
                <a:srgbClr val="000000"/>
              </a:solidFill>
              <a:latin typeface="Arial"/>
              <a:cs typeface="Arial"/>
            </a:rPr>
            <a:t>It counts the total number of companies in each size class (left bars) and shows the total amount of asset in this size class (right bars). Size is measured by assets (item asset size).</a:t>
          </a:r>
        </a:p>
        <a:p>
          <a:pPr algn="l" rtl="1">
            <a:defRPr sz="1000"/>
          </a:pPr>
          <a:r>
            <a:rPr lang="en-US" altLang="zh-CN" sz="1000" b="0" i="0" strike="noStrike">
              <a:solidFill>
                <a:srgbClr val="000000"/>
              </a:solidFill>
              <a:latin typeface="Arial"/>
              <a:cs typeface="Arial"/>
            </a:rPr>
            <a:t>Full points for the use of FREQUENCY or comparable functions, good formatting (and of course a correct answer).</a:t>
          </a:r>
        </a:p>
        <a:p>
          <a:pPr algn="l" rtl="1">
            <a:defRPr sz="1000"/>
          </a:pPr>
          <a:endParaRPr lang="en-US" altLang="zh-CN" sz="1000" b="0" i="0" strike="noStrike">
            <a:solidFill>
              <a:srgbClr val="000000"/>
            </a:solidFill>
            <a:latin typeface="Arial"/>
            <a:cs typeface="Arial"/>
          </a:endParaRPr>
        </a:p>
      </xdr:txBody>
    </xdr:sp>
    <xdr:clientData/>
  </xdr:twoCellAnchor>
  <xdr:twoCellAnchor editAs="oneCell">
    <xdr:from>
      <xdr:col>8</xdr:col>
      <xdr:colOff>447675</xdr:colOff>
      <xdr:row>39</xdr:row>
      <xdr:rowOff>28575</xdr:rowOff>
    </xdr:from>
    <xdr:to>
      <xdr:col>15</xdr:col>
      <xdr:colOff>142875</xdr:colOff>
      <xdr:row>54</xdr:row>
      <xdr:rowOff>85725</xdr:rowOff>
    </xdr:to>
    <xdr:pic>
      <xdr:nvPicPr>
        <xdr:cNvPr id="7"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4475" y="6381750"/>
          <a:ext cx="39624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29</xdr:row>
      <xdr:rowOff>0</xdr:rowOff>
    </xdr:from>
    <xdr:to>
      <xdr:col>2</xdr:col>
      <xdr:colOff>1371600</xdr:colOff>
      <xdr:row>38</xdr:row>
      <xdr:rowOff>152400</xdr:rowOff>
    </xdr:to>
    <xdr:sp macro="" textlink="">
      <xdr:nvSpPr>
        <xdr:cNvPr id="2" name="Text Box 1"/>
        <xdr:cNvSpPr txBox="1">
          <a:spLocks noChangeArrowheads="1"/>
        </xdr:cNvSpPr>
      </xdr:nvSpPr>
      <xdr:spPr bwMode="auto">
        <a:xfrm>
          <a:off x="304800" y="4733925"/>
          <a:ext cx="3905250" cy="1609725"/>
        </a:xfrm>
        <a:prstGeom prst="rect">
          <a:avLst/>
        </a:prstGeom>
        <a:solidFill>
          <a:srgbClr val="FFFFFF"/>
        </a:solidFill>
        <a:ln w="9525" algn="ctr">
          <a:solidFill>
            <a:srgbClr val="000000"/>
          </a:solidFill>
          <a:miter lim="800000"/>
          <a:headEnd/>
          <a:tailEnd/>
        </a:ln>
        <a:effectLst/>
      </xdr:spPr>
      <xdr:txBody>
        <a:bodyPr vertOverflow="clip" wrap="square" lIns="36576" tIns="32004" rIns="0" bIns="0" anchor="t" upright="1"/>
        <a:lstStyle/>
        <a:p>
          <a:pPr algn="l" rtl="1">
            <a:defRPr sz="1000"/>
          </a:pPr>
          <a:r>
            <a:rPr lang="en-US" altLang="zh-CN" sz="1600" b="0" i="0" strike="noStrike">
              <a:solidFill>
                <a:srgbClr val="000000"/>
              </a:solidFill>
              <a:latin typeface="Arial"/>
              <a:cs typeface="Arial"/>
            </a:rPr>
            <a:t>Your research assistant has compiled the categorization of lending focus of NBFIs on this sheets. Use it to produce the summary statistics required in part 2 and for the regressions in part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46"/>
  <sheetViews>
    <sheetView tabSelected="1" zoomScaleNormal="100" workbookViewId="0">
      <selection activeCell="S38" sqref="S38"/>
    </sheetView>
  </sheetViews>
  <sheetFormatPr defaultRowHeight="12.75" x14ac:dyDescent="0.2"/>
  <cols>
    <col min="1" max="16384" width="9.140625" style="2"/>
  </cols>
  <sheetData>
    <row r="1" spans="1:18" ht="15.75" x14ac:dyDescent="0.25">
      <c r="A1" s="1" t="s">
        <v>0</v>
      </c>
      <c r="M1" s="3"/>
    </row>
    <row r="2" spans="1:18" x14ac:dyDescent="0.2">
      <c r="P2" s="222"/>
      <c r="Q2" s="224" t="s">
        <v>530</v>
      </c>
      <c r="R2" s="224"/>
    </row>
    <row r="3" spans="1:18" x14ac:dyDescent="0.2">
      <c r="P3" s="222"/>
      <c r="Q3" s="223" t="s">
        <v>531</v>
      </c>
      <c r="R3" s="223" t="s">
        <v>12</v>
      </c>
    </row>
    <row r="4" spans="1:18" x14ac:dyDescent="0.2">
      <c r="P4" s="223">
        <v>1</v>
      </c>
      <c r="Q4" s="223"/>
      <c r="R4" s="223"/>
    </row>
    <row r="5" spans="1:18" x14ac:dyDescent="0.2">
      <c r="P5" s="223">
        <v>2</v>
      </c>
      <c r="Q5" s="223"/>
      <c r="R5" s="223"/>
    </row>
    <row r="6" spans="1:18" x14ac:dyDescent="0.2">
      <c r="P6" s="223">
        <v>3</v>
      </c>
      <c r="Q6" s="223"/>
      <c r="R6" s="223"/>
    </row>
    <row r="7" spans="1:18" x14ac:dyDescent="0.2">
      <c r="P7" s="223">
        <v>4</v>
      </c>
      <c r="Q7" s="223"/>
      <c r="R7" s="223"/>
    </row>
    <row r="8" spans="1:18" x14ac:dyDescent="0.2">
      <c r="P8" s="223">
        <v>5</v>
      </c>
      <c r="Q8" s="223"/>
      <c r="R8" s="223"/>
    </row>
    <row r="10" spans="1:18" x14ac:dyDescent="0.2">
      <c r="A10" s="4" t="s">
        <v>2</v>
      </c>
    </row>
    <row r="27" spans="1:10" x14ac:dyDescent="0.2">
      <c r="A27" s="4" t="s">
        <v>3</v>
      </c>
    </row>
    <row r="28" spans="1:10" x14ac:dyDescent="0.2">
      <c r="J28" s="4" t="s">
        <v>4</v>
      </c>
    </row>
    <row r="30" spans="1:10" x14ac:dyDescent="0.2">
      <c r="J30" s="2" t="s">
        <v>5</v>
      </c>
    </row>
    <row r="31" spans="1:10" x14ac:dyDescent="0.2">
      <c r="J31" s="5" t="s">
        <v>6</v>
      </c>
    </row>
    <row r="32" spans="1:10" x14ac:dyDescent="0.2">
      <c r="J32" s="2" t="s">
        <v>7</v>
      </c>
    </row>
    <row r="33" spans="1:10" x14ac:dyDescent="0.2">
      <c r="J33" s="2" t="s">
        <v>8</v>
      </c>
    </row>
    <row r="34" spans="1:10" x14ac:dyDescent="0.2">
      <c r="J34" s="2" t="s">
        <v>9</v>
      </c>
    </row>
    <row r="46" spans="1:10" x14ac:dyDescent="0.2">
      <c r="A46" s="4" t="s">
        <v>10</v>
      </c>
    </row>
  </sheetData>
  <mergeCells count="1">
    <mergeCell ref="Q2:R2"/>
  </mergeCells>
  <pageMargins left="0.74803149606299213" right="0.74803149606299213" top="0.98425196850393704" bottom="0.98425196850393704" header="0.51181102362204722" footer="0.51181102362204722"/>
  <pageSetup paperSize="9" orientation="portrait" r:id="rId1"/>
  <headerFooter alignWithMargins="0">
    <oddHeader>&amp;C&amp;"Arial,Bold"&amp;12FINA 515</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65"/>
  <sheetViews>
    <sheetView zoomScale="75" workbookViewId="0">
      <selection activeCell="M1" sqref="M1"/>
    </sheetView>
  </sheetViews>
  <sheetFormatPr defaultRowHeight="12.75" x14ac:dyDescent="0.2"/>
  <cols>
    <col min="1" max="1" width="31.42578125" style="2" bestFit="1" customWidth="1"/>
    <col min="2" max="2" width="16.140625" style="2" bestFit="1" customWidth="1"/>
    <col min="3" max="16384" width="9.140625" style="2"/>
  </cols>
  <sheetData>
    <row r="1" spans="1:13" x14ac:dyDescent="0.2">
      <c r="A1" s="4" t="s">
        <v>11</v>
      </c>
      <c r="M1" s="3"/>
    </row>
    <row r="3" spans="1:13" x14ac:dyDescent="0.2">
      <c r="A3" s="4" t="s">
        <v>12</v>
      </c>
      <c r="B3" s="4" t="s">
        <v>13</v>
      </c>
    </row>
    <row r="4" spans="1:13" x14ac:dyDescent="0.2">
      <c r="A4" s="2" t="s">
        <v>14</v>
      </c>
      <c r="B4" s="2" t="s">
        <v>15</v>
      </c>
    </row>
    <row r="5" spans="1:13" x14ac:dyDescent="0.2">
      <c r="A5" s="2" t="s">
        <v>16</v>
      </c>
      <c r="B5" s="2" t="s">
        <v>15</v>
      </c>
    </row>
    <row r="6" spans="1:13" x14ac:dyDescent="0.2">
      <c r="A6" s="2" t="s">
        <v>17</v>
      </c>
      <c r="B6" s="2" t="s">
        <v>15</v>
      </c>
    </row>
    <row r="7" spans="1:13" x14ac:dyDescent="0.2">
      <c r="A7" s="2" t="s">
        <v>18</v>
      </c>
      <c r="B7" s="2" t="s">
        <v>15</v>
      </c>
    </row>
    <row r="8" spans="1:13" x14ac:dyDescent="0.2">
      <c r="A8" s="2" t="s">
        <v>19</v>
      </c>
      <c r="B8" s="2" t="s">
        <v>15</v>
      </c>
    </row>
    <row r="9" spans="1:13" x14ac:dyDescent="0.2">
      <c r="A9" s="2" t="s">
        <v>20</v>
      </c>
      <c r="B9" s="2" t="s">
        <v>15</v>
      </c>
    </row>
    <row r="10" spans="1:13" x14ac:dyDescent="0.2">
      <c r="A10" s="2" t="s">
        <v>21</v>
      </c>
      <c r="B10" s="2" t="s">
        <v>15</v>
      </c>
    </row>
    <row r="11" spans="1:13" x14ac:dyDescent="0.2">
      <c r="A11" s="2" t="s">
        <v>22</v>
      </c>
      <c r="B11" s="2" t="s">
        <v>15</v>
      </c>
    </row>
    <row r="12" spans="1:13" x14ac:dyDescent="0.2">
      <c r="A12" s="2" t="s">
        <v>23</v>
      </c>
      <c r="B12" s="2" t="s">
        <v>15</v>
      </c>
    </row>
    <row r="13" spans="1:13" x14ac:dyDescent="0.2">
      <c r="A13" s="2" t="s">
        <v>24</v>
      </c>
      <c r="B13" s="2" t="s">
        <v>15</v>
      </c>
    </row>
    <row r="14" spans="1:13" x14ac:dyDescent="0.2">
      <c r="A14" s="2" t="s">
        <v>25</v>
      </c>
      <c r="B14" s="2" t="s">
        <v>15</v>
      </c>
    </row>
    <row r="15" spans="1:13" x14ac:dyDescent="0.2">
      <c r="A15" s="2" t="s">
        <v>26</v>
      </c>
      <c r="B15" s="2" t="s">
        <v>15</v>
      </c>
    </row>
    <row r="16" spans="1:13" x14ac:dyDescent="0.2">
      <c r="A16" s="2" t="s">
        <v>27</v>
      </c>
      <c r="B16" s="2" t="s">
        <v>15</v>
      </c>
    </row>
    <row r="17" spans="1:2" x14ac:dyDescent="0.2">
      <c r="A17" s="2" t="s">
        <v>28</v>
      </c>
      <c r="B17" s="2" t="s">
        <v>15</v>
      </c>
    </row>
    <row r="18" spans="1:2" x14ac:dyDescent="0.2">
      <c r="A18" s="2" t="s">
        <v>29</v>
      </c>
      <c r="B18" s="2" t="s">
        <v>15</v>
      </c>
    </row>
    <row r="19" spans="1:2" x14ac:dyDescent="0.2">
      <c r="A19" s="2" t="s">
        <v>30</v>
      </c>
      <c r="B19" s="2" t="s">
        <v>15</v>
      </c>
    </row>
    <row r="20" spans="1:2" x14ac:dyDescent="0.2">
      <c r="A20" s="2" t="s">
        <v>31</v>
      </c>
      <c r="B20" s="2" t="s">
        <v>15</v>
      </c>
    </row>
    <row r="21" spans="1:2" x14ac:dyDescent="0.2">
      <c r="A21" s="2" t="s">
        <v>32</v>
      </c>
      <c r="B21" s="2" t="s">
        <v>15</v>
      </c>
    </row>
    <row r="22" spans="1:2" x14ac:dyDescent="0.2">
      <c r="A22" s="2" t="s">
        <v>33</v>
      </c>
      <c r="B22" s="2" t="s">
        <v>15</v>
      </c>
    </row>
    <row r="23" spans="1:2" x14ac:dyDescent="0.2">
      <c r="A23" s="2" t="s">
        <v>34</v>
      </c>
      <c r="B23" s="2" t="s">
        <v>15</v>
      </c>
    </row>
    <row r="24" spans="1:2" x14ac:dyDescent="0.2">
      <c r="A24" s="2" t="s">
        <v>35</v>
      </c>
      <c r="B24" s="2" t="s">
        <v>15</v>
      </c>
    </row>
    <row r="25" spans="1:2" x14ac:dyDescent="0.2">
      <c r="A25" s="2" t="s">
        <v>36</v>
      </c>
      <c r="B25" s="2" t="s">
        <v>15</v>
      </c>
    </row>
    <row r="26" spans="1:2" x14ac:dyDescent="0.2">
      <c r="A26" s="2" t="s">
        <v>37</v>
      </c>
      <c r="B26" s="2" t="s">
        <v>15</v>
      </c>
    </row>
    <row r="27" spans="1:2" x14ac:dyDescent="0.2">
      <c r="A27" s="2" t="s">
        <v>38</v>
      </c>
      <c r="B27" s="2" t="s">
        <v>15</v>
      </c>
    </row>
    <row r="28" spans="1:2" x14ac:dyDescent="0.2">
      <c r="A28" s="2" t="s">
        <v>39</v>
      </c>
      <c r="B28" s="2" t="s">
        <v>15</v>
      </c>
    </row>
    <row r="29" spans="1:2" x14ac:dyDescent="0.2">
      <c r="A29" s="2" t="s">
        <v>40</v>
      </c>
      <c r="B29" s="2" t="s">
        <v>15</v>
      </c>
    </row>
    <row r="30" spans="1:2" x14ac:dyDescent="0.2">
      <c r="A30" s="2" t="s">
        <v>41</v>
      </c>
      <c r="B30" s="2" t="s">
        <v>15</v>
      </c>
    </row>
    <row r="31" spans="1:2" x14ac:dyDescent="0.2">
      <c r="A31" s="2" t="s">
        <v>42</v>
      </c>
      <c r="B31" s="2" t="s">
        <v>15</v>
      </c>
    </row>
    <row r="32" spans="1:2" x14ac:dyDescent="0.2">
      <c r="A32" s="2" t="s">
        <v>43</v>
      </c>
      <c r="B32" s="2" t="s">
        <v>15</v>
      </c>
    </row>
    <row r="33" spans="1:2" x14ac:dyDescent="0.2">
      <c r="A33" s="2" t="s">
        <v>44</v>
      </c>
      <c r="B33" s="2" t="s">
        <v>15</v>
      </c>
    </row>
    <row r="34" spans="1:2" x14ac:dyDescent="0.2">
      <c r="A34" s="2" t="s">
        <v>45</v>
      </c>
      <c r="B34" s="2" t="s">
        <v>15</v>
      </c>
    </row>
    <row r="35" spans="1:2" x14ac:dyDescent="0.2">
      <c r="A35" s="2" t="s">
        <v>46</v>
      </c>
      <c r="B35" s="2" t="s">
        <v>15</v>
      </c>
    </row>
    <row r="36" spans="1:2" x14ac:dyDescent="0.2">
      <c r="A36" s="2" t="s">
        <v>47</v>
      </c>
      <c r="B36" s="2" t="s">
        <v>15</v>
      </c>
    </row>
    <row r="37" spans="1:2" x14ac:dyDescent="0.2">
      <c r="A37" s="2" t="s">
        <v>48</v>
      </c>
      <c r="B37" s="2" t="s">
        <v>15</v>
      </c>
    </row>
    <row r="38" spans="1:2" x14ac:dyDescent="0.2">
      <c r="A38" s="2" t="s">
        <v>49</v>
      </c>
      <c r="B38" s="2" t="s">
        <v>15</v>
      </c>
    </row>
    <row r="39" spans="1:2" x14ac:dyDescent="0.2">
      <c r="A39" s="2" t="s">
        <v>50</v>
      </c>
      <c r="B39" s="2" t="s">
        <v>15</v>
      </c>
    </row>
    <row r="40" spans="1:2" x14ac:dyDescent="0.2">
      <c r="A40" s="2" t="s">
        <v>51</v>
      </c>
      <c r="B40" s="2" t="s">
        <v>15</v>
      </c>
    </row>
    <row r="41" spans="1:2" x14ac:dyDescent="0.2">
      <c r="A41" s="2" t="s">
        <v>52</v>
      </c>
      <c r="B41" s="2" t="s">
        <v>15</v>
      </c>
    </row>
    <row r="42" spans="1:2" x14ac:dyDescent="0.2">
      <c r="A42" s="2" t="s">
        <v>53</v>
      </c>
      <c r="B42" s="2" t="s">
        <v>15</v>
      </c>
    </row>
    <row r="43" spans="1:2" x14ac:dyDescent="0.2">
      <c r="A43" s="2" t="s">
        <v>54</v>
      </c>
      <c r="B43" s="2" t="s">
        <v>15</v>
      </c>
    </row>
    <row r="44" spans="1:2" x14ac:dyDescent="0.2">
      <c r="A44" s="2" t="s">
        <v>55</v>
      </c>
      <c r="B44" s="2" t="s">
        <v>15</v>
      </c>
    </row>
    <row r="45" spans="1:2" x14ac:dyDescent="0.2">
      <c r="A45" s="2" t="s">
        <v>56</v>
      </c>
      <c r="B45" s="2" t="s">
        <v>15</v>
      </c>
    </row>
    <row r="46" spans="1:2" x14ac:dyDescent="0.2">
      <c r="A46" s="2" t="s">
        <v>57</v>
      </c>
      <c r="B46" s="2" t="s">
        <v>15</v>
      </c>
    </row>
    <row r="47" spans="1:2" x14ac:dyDescent="0.2">
      <c r="A47" s="2" t="s">
        <v>58</v>
      </c>
      <c r="B47" s="2" t="s">
        <v>15</v>
      </c>
    </row>
    <row r="48" spans="1:2" x14ac:dyDescent="0.2">
      <c r="A48" s="2" t="s">
        <v>59</v>
      </c>
      <c r="B48" s="2" t="s">
        <v>15</v>
      </c>
    </row>
    <row r="49" spans="1:2" x14ac:dyDescent="0.2">
      <c r="A49" s="2" t="s">
        <v>60</v>
      </c>
      <c r="B49" s="2" t="s">
        <v>15</v>
      </c>
    </row>
    <row r="50" spans="1:2" x14ac:dyDescent="0.2">
      <c r="A50" s="2" t="s">
        <v>61</v>
      </c>
      <c r="B50" s="2" t="s">
        <v>15</v>
      </c>
    </row>
    <row r="51" spans="1:2" x14ac:dyDescent="0.2">
      <c r="A51" s="2" t="s">
        <v>62</v>
      </c>
      <c r="B51" s="2" t="s">
        <v>15</v>
      </c>
    </row>
    <row r="52" spans="1:2" x14ac:dyDescent="0.2">
      <c r="A52" s="2" t="s">
        <v>63</v>
      </c>
      <c r="B52" s="2" t="s">
        <v>15</v>
      </c>
    </row>
    <row r="53" spans="1:2" x14ac:dyDescent="0.2">
      <c r="A53" s="2" t="s">
        <v>64</v>
      </c>
      <c r="B53" s="2" t="s">
        <v>15</v>
      </c>
    </row>
    <row r="54" spans="1:2" x14ac:dyDescent="0.2">
      <c r="A54" s="2" t="s">
        <v>65</v>
      </c>
      <c r="B54" s="2" t="s">
        <v>15</v>
      </c>
    </row>
    <row r="55" spans="1:2" x14ac:dyDescent="0.2">
      <c r="A55" s="2" t="s">
        <v>66</v>
      </c>
      <c r="B55" s="2" t="s">
        <v>15</v>
      </c>
    </row>
    <row r="56" spans="1:2" x14ac:dyDescent="0.2">
      <c r="A56" s="2" t="s">
        <v>67</v>
      </c>
      <c r="B56" s="2" t="s">
        <v>15</v>
      </c>
    </row>
    <row r="57" spans="1:2" x14ac:dyDescent="0.2">
      <c r="A57" s="2" t="s">
        <v>68</v>
      </c>
      <c r="B57" s="2" t="s">
        <v>15</v>
      </c>
    </row>
    <row r="58" spans="1:2" x14ac:dyDescent="0.2">
      <c r="A58" s="2" t="s">
        <v>69</v>
      </c>
      <c r="B58" s="2" t="s">
        <v>15</v>
      </c>
    </row>
    <row r="59" spans="1:2" x14ac:dyDescent="0.2">
      <c r="A59" s="2" t="s">
        <v>70</v>
      </c>
      <c r="B59" s="2" t="s">
        <v>15</v>
      </c>
    </row>
    <row r="60" spans="1:2" x14ac:dyDescent="0.2">
      <c r="A60" s="2" t="s">
        <v>71</v>
      </c>
      <c r="B60" s="2" t="s">
        <v>15</v>
      </c>
    </row>
    <row r="61" spans="1:2" x14ac:dyDescent="0.2">
      <c r="A61" s="2" t="s">
        <v>72</v>
      </c>
      <c r="B61" s="2" t="s">
        <v>73</v>
      </c>
    </row>
    <row r="62" spans="1:2" x14ac:dyDescent="0.2">
      <c r="A62" s="2" t="s">
        <v>74</v>
      </c>
      <c r="B62" s="2" t="s">
        <v>73</v>
      </c>
    </row>
    <row r="63" spans="1:2" x14ac:dyDescent="0.2">
      <c r="A63" s="2" t="s">
        <v>75</v>
      </c>
      <c r="B63" s="2" t="s">
        <v>73</v>
      </c>
    </row>
    <row r="64" spans="1:2" x14ac:dyDescent="0.2">
      <c r="A64" s="2" t="s">
        <v>76</v>
      </c>
      <c r="B64" s="2" t="s">
        <v>73</v>
      </c>
    </row>
    <row r="65" spans="1:2" x14ac:dyDescent="0.2">
      <c r="A65" s="2" t="s">
        <v>77</v>
      </c>
      <c r="B65" s="2" t="s">
        <v>73</v>
      </c>
    </row>
  </sheetData>
  <pageMargins left="0.75" right="0.75" top="1" bottom="1" header="0.5" footer="0.5"/>
  <pageSetup paperSize="9" orientation="portrait" r:id="rId1"/>
  <headerFooter alignWithMargins="0">
    <oddFooter>&amp;LData preparation NBFI Financial DATA.xls&amp;R&amp;"Arial,Bold"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IV207"/>
  <sheetViews>
    <sheetView zoomScale="75" workbookViewId="0">
      <pane xSplit="2" ySplit="4" topLeftCell="C83" activePane="bottomRight" state="frozen"/>
      <selection activeCell="V39" sqref="V39"/>
      <selection pane="topRight" activeCell="V39" sqref="V39"/>
      <selection pane="bottomLeft" activeCell="V39" sqref="V39"/>
      <selection pane="bottomRight" activeCell="A82" sqref="A82"/>
    </sheetView>
  </sheetViews>
  <sheetFormatPr defaultRowHeight="12.75" outlineLevelCol="1" x14ac:dyDescent="0.2"/>
  <cols>
    <col min="1" max="1" width="3.85546875" style="13" customWidth="1"/>
    <col min="2" max="2" width="71.140625" style="6" bestFit="1" customWidth="1"/>
    <col min="3" max="3" width="11.28515625" style="7" customWidth="1"/>
    <col min="4" max="4" width="11.28515625" style="8" customWidth="1" outlineLevel="1"/>
    <col min="5" max="5" width="13.7109375" style="8" customWidth="1" outlineLevel="1"/>
    <col min="6" max="6" width="12.140625" style="8" customWidth="1" outlineLevel="1"/>
    <col min="7" max="7" width="12.5703125" style="8" customWidth="1" outlineLevel="1"/>
    <col min="8" max="9" width="12.42578125" style="8" customWidth="1" outlineLevel="1"/>
    <col min="10" max="10" width="9.140625" style="9"/>
    <col min="11" max="11" width="9.140625" style="10" outlineLevel="1"/>
    <col min="12" max="12" width="10.7109375" style="6" customWidth="1" outlineLevel="1"/>
    <col min="13" max="13" width="13.28515625" style="6" customWidth="1" outlineLevel="1"/>
    <col min="14" max="14" width="9.85546875" style="12" customWidth="1"/>
    <col min="15" max="15" width="24.85546875" style="8" bestFit="1" customWidth="1" outlineLevel="1"/>
    <col min="16" max="16" width="29.7109375" style="6" bestFit="1" customWidth="1" outlineLevel="1"/>
    <col min="17" max="17" width="12.7109375" style="6" customWidth="1" outlineLevel="1"/>
    <col min="18" max="20" width="10.85546875" style="6" customWidth="1" outlineLevel="1"/>
    <col min="21" max="21" width="9.85546875" style="9" customWidth="1"/>
    <col min="22" max="22" width="9.85546875" style="10" customWidth="1" outlineLevel="1"/>
    <col min="23" max="23" width="14.7109375" style="6" customWidth="1" outlineLevel="1"/>
    <col min="24" max="27" width="13.28515625" style="6" customWidth="1" outlineLevel="1"/>
    <col min="28" max="28" width="9.140625" style="9"/>
    <col min="29" max="29" width="9.140625" style="10" outlineLevel="1"/>
    <col min="30" max="30" width="13.85546875" style="6" customWidth="1" outlineLevel="1"/>
    <col min="31" max="31" width="13.28515625" style="6" customWidth="1" outlineLevel="1"/>
    <col min="32" max="32" width="10.28515625" style="9" customWidth="1"/>
    <col min="33" max="33" width="10.28515625" style="10" customWidth="1" outlineLevel="1"/>
    <col min="34" max="34" width="17" style="6" customWidth="1" outlineLevel="1"/>
    <col min="35" max="35" width="16.140625" style="6" customWidth="1" outlineLevel="1"/>
    <col min="36" max="36" width="9.140625" style="9"/>
    <col min="37" max="37" width="9.140625" style="10" outlineLevel="1"/>
    <col min="38" max="38" width="15.5703125" style="6" customWidth="1" outlineLevel="1"/>
    <col min="39" max="41" width="13.28515625" style="6" customWidth="1" outlineLevel="1"/>
    <col min="42" max="42" width="11.28515625" style="9" customWidth="1"/>
    <col min="43" max="43" width="11.28515625" style="10" customWidth="1" outlineLevel="1"/>
    <col min="44" max="45" width="13.28515625" style="6" customWidth="1" outlineLevel="1"/>
    <col min="46" max="46" width="15.5703125" style="6" customWidth="1" outlineLevel="1"/>
    <col min="47" max="48" width="14.42578125" style="6" customWidth="1" outlineLevel="1"/>
    <col min="49" max="49" width="9.140625" style="9"/>
    <col min="50" max="50" width="9.140625" style="10" outlineLevel="1"/>
    <col min="51" max="51" width="21.42578125" style="6" bestFit="1" customWidth="1" outlineLevel="1"/>
    <col min="52" max="52" width="13.28515625" style="6" customWidth="1" outlineLevel="1"/>
    <col min="53" max="53" width="11.140625" style="13" customWidth="1"/>
    <col min="54" max="54" width="11.140625" style="10" customWidth="1" outlineLevel="1"/>
    <col min="55" max="55" width="18.42578125" style="8" customWidth="1" outlineLevel="1"/>
    <col min="56" max="56" width="17.28515625" style="8" customWidth="1" outlineLevel="1"/>
    <col min="57" max="57" width="11.140625" style="13" customWidth="1"/>
    <col min="58" max="58" width="11.140625" style="10" customWidth="1" outlineLevel="1"/>
    <col min="59" max="59" width="16.5703125" style="8" customWidth="1" outlineLevel="1"/>
    <col min="60" max="63" width="15.5703125" style="8" customWidth="1" outlineLevel="1"/>
    <col min="64" max="64" width="11.140625" style="13" customWidth="1"/>
    <col min="65" max="65" width="11.140625" style="10" customWidth="1" outlineLevel="1"/>
    <col min="66" max="66" width="14.140625" style="8" customWidth="1" outlineLevel="1"/>
    <col min="67" max="70" width="10.85546875" style="8" customWidth="1" outlineLevel="1"/>
    <col min="71" max="71" width="9.140625" style="9"/>
    <col min="72" max="74" width="15" style="8" customWidth="1" outlineLevel="1"/>
    <col min="75" max="75" width="10.7109375" style="9" customWidth="1"/>
    <col min="76" max="76" width="10.7109375" style="10" customWidth="1" outlineLevel="1"/>
    <col min="77" max="77" width="12.42578125" style="6" customWidth="1" outlineLevel="1"/>
    <col min="78" max="78" width="14.28515625" style="6" customWidth="1" outlineLevel="1"/>
    <col min="79" max="79" width="14.140625" style="7" customWidth="1"/>
    <col min="80" max="80" width="14.140625" style="8" customWidth="1" outlineLevel="1"/>
    <col min="81" max="84" width="13.28515625" style="6" customWidth="1" outlineLevel="1"/>
    <col min="85" max="85" width="11" style="9" customWidth="1"/>
    <col min="86" max="86" width="11" style="10" customWidth="1" outlineLevel="1"/>
    <col min="87" max="87" width="21.28515625" style="6" customWidth="1" outlineLevel="1"/>
    <col min="88" max="88" width="10.5703125" style="6" customWidth="1" outlineLevel="1"/>
    <col min="89" max="89" width="11" style="9" customWidth="1"/>
    <col min="90" max="90" width="11" style="10" customWidth="1" outlineLevel="1"/>
    <col min="91" max="91" width="13.5703125" style="6" customWidth="1" outlineLevel="1"/>
    <col min="92" max="95" width="13.42578125" style="6" customWidth="1" outlineLevel="1"/>
    <col min="96" max="96" width="9.140625" style="9"/>
    <col min="97" max="97" width="9.140625" style="10" outlineLevel="1"/>
    <col min="98" max="98" width="13.5703125" style="6" customWidth="1" outlineLevel="1"/>
    <col min="99" max="99" width="10.5703125" style="6" customWidth="1" outlineLevel="1"/>
    <col min="100" max="100" width="9.140625" style="9"/>
    <col min="101" max="101" width="9.140625" style="10" outlineLevel="1"/>
    <col min="102" max="102" width="19.5703125" style="6" customWidth="1" outlineLevel="1"/>
    <col min="103" max="105" width="16.28515625" style="6" customWidth="1" outlineLevel="1"/>
    <col min="106" max="106" width="9.140625" style="9"/>
    <col min="107" max="107" width="9.140625" style="10" outlineLevel="1"/>
    <col min="108" max="108" width="18.42578125" style="6" customWidth="1" outlineLevel="1"/>
    <col min="109" max="109" width="11.42578125" style="6" customWidth="1" outlineLevel="1"/>
    <col min="110" max="110" width="9.140625" style="9"/>
    <col min="111" max="111" width="9.140625" style="10" outlineLevel="1"/>
    <col min="112" max="112" width="13.5703125" style="6" customWidth="1" outlineLevel="1"/>
    <col min="113" max="116" width="11.42578125" style="6" customWidth="1" outlineLevel="1"/>
    <col min="117" max="117" width="10.7109375" style="9" customWidth="1"/>
    <col min="118" max="118" width="10.7109375" style="10" customWidth="1" outlineLevel="1"/>
    <col min="119" max="119" width="15.5703125" style="6" customWidth="1" outlineLevel="1"/>
    <col min="120" max="120" width="14.140625" style="6" customWidth="1" outlineLevel="1"/>
    <col min="121" max="121" width="13.7109375" style="6" customWidth="1" outlineLevel="1"/>
    <col min="122" max="122" width="13.5703125" style="6" customWidth="1" outlineLevel="1"/>
    <col min="123" max="123" width="14" style="6" customWidth="1" outlineLevel="1"/>
    <col min="124" max="124" width="9.140625" style="9"/>
    <col min="125" max="125" width="9.140625" style="10" outlineLevel="1"/>
    <col min="126" max="127" width="16.5703125" style="6" customWidth="1" outlineLevel="1"/>
    <col min="128" max="128" width="9.140625" style="9"/>
    <col min="129" max="129" width="9.140625" style="10" outlineLevel="1"/>
    <col min="130" max="130" width="25" style="6" customWidth="1" outlineLevel="1"/>
    <col min="131" max="131" width="13.28515625" style="6" customWidth="1" outlineLevel="1"/>
    <col min="132" max="132" width="10.5703125" style="9" customWidth="1"/>
    <col min="133" max="133" width="10.5703125" style="10" customWidth="1" outlineLevel="1"/>
    <col min="134" max="134" width="21.5703125" style="6" customWidth="1" outlineLevel="1"/>
    <col min="135" max="135" width="10.5703125" style="6" customWidth="1" outlineLevel="1"/>
    <col min="136" max="136" width="9.140625" style="9"/>
    <col min="137" max="137" width="9.140625" style="10" outlineLevel="1"/>
    <col min="138" max="138" width="12.42578125" style="6" customWidth="1" outlineLevel="1"/>
    <col min="139" max="139" width="10.5703125" style="6" customWidth="1" outlineLevel="1"/>
    <col min="140" max="140" width="9.140625" style="9"/>
    <col min="141" max="141" width="9.140625" style="10" outlineLevel="1"/>
    <col min="142" max="142" width="21" style="6" customWidth="1" outlineLevel="1"/>
    <col min="143" max="143" width="10.5703125" style="6" customWidth="1" outlineLevel="1"/>
    <col min="144" max="144" width="9.140625" style="9"/>
    <col min="145" max="145" width="9.140625" style="10" outlineLevel="1"/>
    <col min="146" max="146" width="9" style="6" customWidth="1" outlineLevel="1"/>
    <col min="147" max="147" width="18.140625" style="6" customWidth="1" outlineLevel="1"/>
    <col min="148" max="148" width="9.140625" style="9"/>
    <col min="149" max="149" width="9.140625" style="10" outlineLevel="1"/>
    <col min="150" max="150" width="13" style="6" customWidth="1" outlineLevel="1"/>
    <col min="151" max="151" width="10.5703125" style="6" customWidth="1" outlineLevel="1"/>
    <col min="152" max="152" width="9.140625" style="9"/>
    <col min="153" max="153" width="9.140625" style="10" outlineLevel="1"/>
    <col min="154" max="154" width="19.28515625" style="6" customWidth="1" outlineLevel="1"/>
    <col min="155" max="155" width="11" style="6" customWidth="1" outlineLevel="1"/>
    <col min="156" max="156" width="9.140625" style="9"/>
    <col min="157" max="157" width="9.140625" style="10" outlineLevel="1"/>
    <col min="158" max="158" width="9.28515625" style="6" customWidth="1" outlineLevel="1"/>
    <col min="159" max="159" width="10.5703125" style="6" customWidth="1" outlineLevel="1"/>
    <col min="160" max="160" width="9.140625" style="9"/>
    <col min="161" max="161" width="9.140625" style="10" outlineLevel="1"/>
    <col min="162" max="162" width="17.5703125" style="6" customWidth="1" outlineLevel="1"/>
    <col min="163" max="163" width="10.5703125" style="6" customWidth="1" outlineLevel="1"/>
    <col min="164" max="164" width="10.28515625" style="9" customWidth="1"/>
    <col min="165" max="165" width="10.28515625" style="10" customWidth="1" outlineLevel="1"/>
    <col min="166" max="166" width="18.42578125" style="6" customWidth="1" outlineLevel="1"/>
    <col min="167" max="167" width="10.5703125" style="6" customWidth="1" outlineLevel="1"/>
    <col min="168" max="168" width="9.140625" style="9"/>
    <col min="169" max="169" width="9.140625" style="10" outlineLevel="1"/>
    <col min="170" max="170" width="15.5703125" style="6" customWidth="1" outlineLevel="1"/>
    <col min="171" max="171" width="10.5703125" style="6" customWidth="1" outlineLevel="1"/>
    <col min="172" max="172" width="9.140625" style="9"/>
    <col min="173" max="173" width="9.140625" style="10" outlineLevel="1"/>
    <col min="174" max="174" width="17.28515625" style="6" customWidth="1" outlineLevel="1"/>
    <col min="175" max="175" width="10.5703125" style="6" customWidth="1" outlineLevel="1"/>
    <col min="176" max="176" width="9.140625" style="9"/>
    <col min="177" max="177" width="9.140625" style="10" outlineLevel="1"/>
    <col min="178" max="178" width="19.28515625" style="6" customWidth="1" outlineLevel="1"/>
    <col min="179" max="179" width="10.5703125" style="6" customWidth="1" outlineLevel="1"/>
    <col min="180" max="180" width="9.140625" style="9"/>
    <col min="181" max="181" width="9.140625" style="10" outlineLevel="1"/>
    <col min="182" max="182" width="20.140625" style="6" customWidth="1" outlineLevel="1"/>
    <col min="183" max="183" width="10.5703125" style="6" customWidth="1" outlineLevel="1"/>
    <col min="184" max="184" width="9.140625" style="9"/>
    <col min="185" max="185" width="9.140625" style="10" outlineLevel="1"/>
    <col min="186" max="186" width="19" style="6" customWidth="1" outlineLevel="1"/>
    <col min="187" max="187" width="10.5703125" style="6" customWidth="1" outlineLevel="1"/>
    <col min="188" max="188" width="9.140625" style="9"/>
    <col min="189" max="189" width="9.140625" style="10" outlineLevel="1"/>
    <col min="190" max="190" width="11" style="6" customWidth="1" outlineLevel="1"/>
    <col min="191" max="191" width="10.5703125" style="6" customWidth="1" outlineLevel="1"/>
    <col min="192" max="192" width="9.140625" style="9"/>
    <col min="193" max="193" width="9.140625" style="10" outlineLevel="1"/>
    <col min="194" max="194" width="20.42578125" style="6" customWidth="1" outlineLevel="1"/>
    <col min="195" max="195" width="10.5703125" style="6" customWidth="1" outlineLevel="1"/>
    <col min="196" max="196" width="9.140625" style="9"/>
    <col min="197" max="197" width="9.140625" style="10" outlineLevel="1"/>
    <col min="198" max="198" width="17.28515625" style="6" customWidth="1" outlineLevel="1"/>
    <col min="199" max="199" width="10.5703125" style="6" customWidth="1" outlineLevel="1"/>
    <col min="200" max="200" width="9.140625" style="9"/>
    <col min="201" max="201" width="9.140625" style="10" outlineLevel="1"/>
    <col min="202" max="202" width="21.5703125" style="6" customWidth="1" outlineLevel="1"/>
    <col min="203" max="203" width="10.5703125" style="6" customWidth="1" outlineLevel="1"/>
    <col min="204" max="204" width="9.140625" style="9"/>
    <col min="205" max="205" width="9.140625" style="10" outlineLevel="1"/>
    <col min="206" max="206" width="17.5703125" style="6" customWidth="1" outlineLevel="1"/>
    <col min="207" max="207" width="10.5703125" style="6" customWidth="1" outlineLevel="1"/>
    <col min="208" max="208" width="9.140625" style="9"/>
    <col min="209" max="209" width="9.140625" style="10" outlineLevel="1"/>
    <col min="210" max="210" width="17.28515625" style="6" customWidth="1" outlineLevel="1"/>
    <col min="211" max="211" width="10.5703125" style="6" customWidth="1" outlineLevel="1"/>
    <col min="212" max="212" width="9.140625" style="9"/>
    <col min="213" max="213" width="9.140625" style="10" outlineLevel="1"/>
    <col min="214" max="214" width="11" style="6" customWidth="1" outlineLevel="1"/>
    <col min="215" max="215" width="17.28515625" style="6" customWidth="1" outlineLevel="1"/>
    <col min="216" max="216" width="19.7109375" style="6" bestFit="1" customWidth="1" outlineLevel="1"/>
    <col min="217" max="217" width="9.140625" style="2"/>
    <col min="218" max="218" width="20.140625" style="2" customWidth="1"/>
    <col min="219" max="219" width="10.5703125" style="2" customWidth="1"/>
    <col min="220" max="220" width="9.140625" style="2"/>
    <col min="221" max="221" width="18.7109375" style="2" customWidth="1"/>
    <col min="222" max="222" width="10.5703125" style="2" customWidth="1"/>
    <col min="223" max="223" width="9.140625" style="2"/>
    <col min="224" max="224" width="15.85546875" style="2" customWidth="1"/>
    <col min="225" max="225" width="10.5703125" style="2" customWidth="1"/>
    <col min="226" max="226" width="9.140625" style="2"/>
    <col min="227" max="227" width="10.7109375" style="2" customWidth="1"/>
    <col min="228" max="228" width="10.5703125" style="2" customWidth="1"/>
    <col min="229" max="229" width="9.140625" style="2"/>
    <col min="230" max="230" width="13" style="2" customWidth="1"/>
    <col min="231" max="231" width="10.5703125" style="2" customWidth="1"/>
    <col min="232" max="232" width="9.140625" style="2"/>
    <col min="233" max="233" width="11" style="2" customWidth="1"/>
    <col min="234" max="234" width="10.5703125" style="2" customWidth="1"/>
    <col min="235" max="235" width="9.140625" style="2"/>
    <col min="236" max="236" width="11" style="2" customWidth="1"/>
    <col min="237" max="237" width="10.5703125" style="2" customWidth="1"/>
    <col min="238" max="238" width="9.140625" style="2"/>
    <col min="239" max="239" width="17.5703125" style="2" customWidth="1"/>
    <col min="240" max="240" width="10.5703125" style="2" customWidth="1"/>
    <col min="241" max="241" width="10" style="2" customWidth="1"/>
    <col min="242" max="242" width="12.42578125" style="2" customWidth="1"/>
    <col min="243" max="243" width="10.5703125" style="2" customWidth="1"/>
    <col min="244" max="244" width="9.140625" style="2"/>
    <col min="245" max="245" width="16.7109375" style="2" customWidth="1"/>
    <col min="246" max="246" width="10.5703125" style="2" customWidth="1"/>
    <col min="247" max="247" width="9.140625" style="2"/>
    <col min="248" max="248" width="17.85546875" style="2" customWidth="1"/>
    <col min="249" max="249" width="10.5703125" style="2" customWidth="1"/>
    <col min="250" max="250" width="9.140625" style="2"/>
    <col min="251" max="251" width="14.42578125" style="2" customWidth="1"/>
    <col min="252" max="252" width="10.5703125" style="2" customWidth="1"/>
    <col min="253" max="253" width="9.140625" style="2"/>
    <col min="254" max="254" width="13.85546875" style="2" customWidth="1"/>
    <col min="255" max="255" width="10.5703125" style="2" customWidth="1"/>
    <col min="256" max="16384" width="9.140625" style="2"/>
  </cols>
  <sheetData>
    <row r="1" spans="1:256" x14ac:dyDescent="0.2">
      <c r="A1" s="4" t="s">
        <v>78</v>
      </c>
      <c r="M1" s="11"/>
      <c r="W1" s="11" t="s">
        <v>79</v>
      </c>
    </row>
    <row r="2" spans="1:256" s="14" customFormat="1" ht="51" customHeight="1" x14ac:dyDescent="0.2">
      <c r="B2" s="15" t="s">
        <v>80</v>
      </c>
      <c r="C2" s="16" t="s">
        <v>72</v>
      </c>
      <c r="D2" s="17" t="s">
        <v>72</v>
      </c>
      <c r="E2" s="18" t="s">
        <v>72</v>
      </c>
      <c r="F2" s="18" t="s">
        <v>72</v>
      </c>
      <c r="G2" s="18" t="s">
        <v>72</v>
      </c>
      <c r="H2" s="18" t="s">
        <v>72</v>
      </c>
      <c r="I2" s="18" t="s">
        <v>72</v>
      </c>
      <c r="J2" s="16" t="s">
        <v>16</v>
      </c>
      <c r="K2" s="18" t="s">
        <v>16</v>
      </c>
      <c r="L2" s="18" t="s">
        <v>16</v>
      </c>
      <c r="M2" s="18" t="s">
        <v>16</v>
      </c>
      <c r="N2" s="16" t="s">
        <v>14</v>
      </c>
      <c r="O2" s="18" t="s">
        <v>14</v>
      </c>
      <c r="P2" s="18" t="s">
        <v>14</v>
      </c>
      <c r="Q2" s="18" t="s">
        <v>14</v>
      </c>
      <c r="R2" s="18" t="s">
        <v>14</v>
      </c>
      <c r="S2" s="18" t="s">
        <v>14</v>
      </c>
      <c r="T2" s="18" t="s">
        <v>14</v>
      </c>
      <c r="U2" s="16" t="s">
        <v>17</v>
      </c>
      <c r="V2" s="18" t="s">
        <v>17</v>
      </c>
      <c r="W2" s="18" t="s">
        <v>17</v>
      </c>
      <c r="X2" s="18" t="s">
        <v>17</v>
      </c>
      <c r="Y2" s="18" t="s">
        <v>17</v>
      </c>
      <c r="Z2" s="18" t="s">
        <v>17</v>
      </c>
      <c r="AA2" s="18" t="s">
        <v>17</v>
      </c>
      <c r="AB2" s="16" t="s">
        <v>18</v>
      </c>
      <c r="AC2" s="18" t="s">
        <v>18</v>
      </c>
      <c r="AD2" s="18" t="s">
        <v>18</v>
      </c>
      <c r="AE2" s="18" t="s">
        <v>18</v>
      </c>
      <c r="AF2" s="16" t="s">
        <v>81</v>
      </c>
      <c r="AG2" s="18" t="s">
        <v>81</v>
      </c>
      <c r="AH2" s="18" t="s">
        <v>81</v>
      </c>
      <c r="AI2" s="18" t="s">
        <v>81</v>
      </c>
      <c r="AJ2" s="16" t="s">
        <v>19</v>
      </c>
      <c r="AK2" s="18" t="s">
        <v>19</v>
      </c>
      <c r="AL2" s="18" t="s">
        <v>19</v>
      </c>
      <c r="AM2" s="18" t="s">
        <v>19</v>
      </c>
      <c r="AN2" s="18" t="s">
        <v>19</v>
      </c>
      <c r="AO2" s="18" t="s">
        <v>19</v>
      </c>
      <c r="AP2" s="16" t="s">
        <v>20</v>
      </c>
      <c r="AQ2" s="18" t="s">
        <v>20</v>
      </c>
      <c r="AR2" s="18" t="s">
        <v>20</v>
      </c>
      <c r="AS2" s="18" t="s">
        <v>20</v>
      </c>
      <c r="AT2" s="18" t="s">
        <v>20</v>
      </c>
      <c r="AU2" s="18" t="s">
        <v>20</v>
      </c>
      <c r="AV2" s="18" t="s">
        <v>20</v>
      </c>
      <c r="AW2" s="16" t="s">
        <v>82</v>
      </c>
      <c r="AX2" s="18" t="s">
        <v>82</v>
      </c>
      <c r="AY2" s="18" t="s">
        <v>82</v>
      </c>
      <c r="AZ2" s="18" t="s">
        <v>82</v>
      </c>
      <c r="BA2" s="19" t="s">
        <v>83</v>
      </c>
      <c r="BB2" s="18" t="s">
        <v>83</v>
      </c>
      <c r="BC2" s="18" t="s">
        <v>83</v>
      </c>
      <c r="BD2" s="18" t="s">
        <v>83</v>
      </c>
      <c r="BE2" s="16" t="s">
        <v>21</v>
      </c>
      <c r="BF2" s="18" t="s">
        <v>21</v>
      </c>
      <c r="BG2" s="18" t="s">
        <v>21</v>
      </c>
      <c r="BH2" s="18" t="s">
        <v>21</v>
      </c>
      <c r="BI2" s="18" t="s">
        <v>21</v>
      </c>
      <c r="BJ2" s="18" t="s">
        <v>21</v>
      </c>
      <c r="BK2" s="18" t="s">
        <v>21</v>
      </c>
      <c r="BL2" s="16" t="s">
        <v>22</v>
      </c>
      <c r="BM2" s="18" t="s">
        <v>22</v>
      </c>
      <c r="BN2" s="18" t="s">
        <v>22</v>
      </c>
      <c r="BO2" s="18" t="s">
        <v>22</v>
      </c>
      <c r="BP2" s="18" t="s">
        <v>22</v>
      </c>
      <c r="BQ2" s="18" t="s">
        <v>22</v>
      </c>
      <c r="BR2" s="18" t="s">
        <v>22</v>
      </c>
      <c r="BS2" s="16" t="s">
        <v>23</v>
      </c>
      <c r="BT2" s="18" t="s">
        <v>23</v>
      </c>
      <c r="BU2" s="18" t="s">
        <v>23</v>
      </c>
      <c r="BV2" s="18" t="s">
        <v>23</v>
      </c>
      <c r="BW2" s="16" t="s">
        <v>84</v>
      </c>
      <c r="BX2" s="18" t="s">
        <v>84</v>
      </c>
      <c r="BY2" s="18" t="s">
        <v>84</v>
      </c>
      <c r="BZ2" s="18" t="s">
        <v>84</v>
      </c>
      <c r="CA2" s="16" t="s">
        <v>85</v>
      </c>
      <c r="CB2" s="18" t="s">
        <v>85</v>
      </c>
      <c r="CC2" s="18" t="s">
        <v>85</v>
      </c>
      <c r="CD2" s="18" t="s">
        <v>85</v>
      </c>
      <c r="CE2" s="18" t="s">
        <v>85</v>
      </c>
      <c r="CF2" s="18" t="s">
        <v>85</v>
      </c>
      <c r="CG2" s="16" t="s">
        <v>86</v>
      </c>
      <c r="CH2" s="18" t="s">
        <v>86</v>
      </c>
      <c r="CI2" s="18" t="s">
        <v>86</v>
      </c>
      <c r="CJ2" s="18" t="s">
        <v>86</v>
      </c>
      <c r="CK2" s="16" t="s">
        <v>25</v>
      </c>
      <c r="CL2" s="18" t="s">
        <v>25</v>
      </c>
      <c r="CM2" s="18" t="s">
        <v>25</v>
      </c>
      <c r="CN2" s="18" t="s">
        <v>25</v>
      </c>
      <c r="CO2" s="18" t="s">
        <v>25</v>
      </c>
      <c r="CP2" s="18" t="s">
        <v>25</v>
      </c>
      <c r="CQ2" s="18" t="s">
        <v>25</v>
      </c>
      <c r="CR2" s="16" t="s">
        <v>87</v>
      </c>
      <c r="CS2" s="18" t="s">
        <v>87</v>
      </c>
      <c r="CT2" s="18" t="s">
        <v>87</v>
      </c>
      <c r="CU2" s="18" t="s">
        <v>87</v>
      </c>
      <c r="CV2" s="16" t="s">
        <v>26</v>
      </c>
      <c r="CW2" s="18" t="s">
        <v>26</v>
      </c>
      <c r="CX2" s="18" t="s">
        <v>26</v>
      </c>
      <c r="CY2" s="18" t="s">
        <v>26</v>
      </c>
      <c r="CZ2" s="18" t="s">
        <v>26</v>
      </c>
      <c r="DA2" s="18" t="s">
        <v>26</v>
      </c>
      <c r="DB2" s="16" t="s">
        <v>88</v>
      </c>
      <c r="DC2" s="18" t="s">
        <v>88</v>
      </c>
      <c r="DD2" s="18" t="s">
        <v>88</v>
      </c>
      <c r="DE2" s="18" t="s">
        <v>88</v>
      </c>
      <c r="DF2" s="16" t="s">
        <v>89</v>
      </c>
      <c r="DG2" s="18" t="s">
        <v>89</v>
      </c>
      <c r="DH2" s="18" t="s">
        <v>89</v>
      </c>
      <c r="DI2" s="18" t="s">
        <v>89</v>
      </c>
      <c r="DJ2" s="18" t="s">
        <v>89</v>
      </c>
      <c r="DK2" s="18" t="s">
        <v>89</v>
      </c>
      <c r="DL2" s="18" t="s">
        <v>89</v>
      </c>
      <c r="DM2" s="16" t="s">
        <v>28</v>
      </c>
      <c r="DN2" s="18" t="s">
        <v>28</v>
      </c>
      <c r="DO2" s="18" t="s">
        <v>28</v>
      </c>
      <c r="DP2" s="18" t="s">
        <v>28</v>
      </c>
      <c r="DQ2" s="18" t="s">
        <v>28</v>
      </c>
      <c r="DR2" s="18" t="s">
        <v>28</v>
      </c>
      <c r="DS2" s="18" t="s">
        <v>28</v>
      </c>
      <c r="DT2" s="16" t="s">
        <v>90</v>
      </c>
      <c r="DU2" s="18" t="s">
        <v>90</v>
      </c>
      <c r="DV2" s="18" t="s">
        <v>90</v>
      </c>
      <c r="DW2" s="18" t="s">
        <v>90</v>
      </c>
      <c r="DX2" s="16" t="s">
        <v>29</v>
      </c>
      <c r="DY2" s="18" t="s">
        <v>29</v>
      </c>
      <c r="DZ2" s="18" t="s">
        <v>29</v>
      </c>
      <c r="EA2" s="18" t="s">
        <v>29</v>
      </c>
      <c r="EB2" s="16" t="s">
        <v>30</v>
      </c>
      <c r="EC2" s="18" t="s">
        <v>30</v>
      </c>
      <c r="ED2" s="18" t="s">
        <v>30</v>
      </c>
      <c r="EE2" s="18" t="s">
        <v>30</v>
      </c>
      <c r="EF2" s="16" t="s">
        <v>31</v>
      </c>
      <c r="EG2" s="18" t="s">
        <v>31</v>
      </c>
      <c r="EH2" s="18" t="s">
        <v>31</v>
      </c>
      <c r="EI2" s="18" t="s">
        <v>31</v>
      </c>
      <c r="EJ2" s="16" t="s">
        <v>32</v>
      </c>
      <c r="EK2" s="18" t="s">
        <v>32</v>
      </c>
      <c r="EL2" s="18" t="s">
        <v>32</v>
      </c>
      <c r="EM2" s="18" t="s">
        <v>32</v>
      </c>
      <c r="EN2" s="16" t="s">
        <v>33</v>
      </c>
      <c r="EO2" s="18" t="s">
        <v>33</v>
      </c>
      <c r="EP2" s="18" t="s">
        <v>33</v>
      </c>
      <c r="EQ2" s="18" t="s">
        <v>33</v>
      </c>
      <c r="ER2" s="16" t="s">
        <v>37</v>
      </c>
      <c r="ES2" s="18" t="s">
        <v>37</v>
      </c>
      <c r="ET2" s="18" t="s">
        <v>37</v>
      </c>
      <c r="EU2" s="18" t="s">
        <v>37</v>
      </c>
      <c r="EV2" s="19" t="s">
        <v>34</v>
      </c>
      <c r="EW2" s="18" t="s">
        <v>34</v>
      </c>
      <c r="EX2" s="18" t="s">
        <v>34</v>
      </c>
      <c r="EY2" s="18" t="s">
        <v>34</v>
      </c>
      <c r="EZ2" s="16" t="s">
        <v>91</v>
      </c>
      <c r="FA2" s="18" t="s">
        <v>91</v>
      </c>
      <c r="FB2" s="18" t="s">
        <v>91</v>
      </c>
      <c r="FC2" s="18" t="s">
        <v>91</v>
      </c>
      <c r="FD2" s="16" t="s">
        <v>35</v>
      </c>
      <c r="FE2" s="18" t="s">
        <v>35</v>
      </c>
      <c r="FF2" s="18" t="s">
        <v>35</v>
      </c>
      <c r="FG2" s="18" t="s">
        <v>35</v>
      </c>
      <c r="FH2" s="16" t="s">
        <v>36</v>
      </c>
      <c r="FI2" s="18" t="s">
        <v>36</v>
      </c>
      <c r="FJ2" s="18" t="s">
        <v>36</v>
      </c>
      <c r="FK2" s="18" t="s">
        <v>36</v>
      </c>
      <c r="FL2" s="16" t="s">
        <v>92</v>
      </c>
      <c r="FM2" s="18" t="s">
        <v>92</v>
      </c>
      <c r="FN2" s="18" t="s">
        <v>92</v>
      </c>
      <c r="FO2" s="18" t="s">
        <v>92</v>
      </c>
      <c r="FP2" s="16" t="s">
        <v>93</v>
      </c>
      <c r="FQ2" s="18" t="s">
        <v>93</v>
      </c>
      <c r="FR2" s="18" t="s">
        <v>93</v>
      </c>
      <c r="FS2" s="18" t="s">
        <v>93</v>
      </c>
      <c r="FT2" s="16" t="s">
        <v>94</v>
      </c>
      <c r="FU2" s="18" t="s">
        <v>94</v>
      </c>
      <c r="FV2" s="18" t="s">
        <v>94</v>
      </c>
      <c r="FW2" s="18" t="s">
        <v>94</v>
      </c>
      <c r="FX2" s="16" t="s">
        <v>95</v>
      </c>
      <c r="FY2" s="18"/>
      <c r="FZ2" s="18" t="s">
        <v>95</v>
      </c>
      <c r="GA2" s="18" t="s">
        <v>95</v>
      </c>
      <c r="GB2" s="16" t="s">
        <v>38</v>
      </c>
      <c r="GC2" s="18" t="s">
        <v>38</v>
      </c>
      <c r="GD2" s="18" t="s">
        <v>38</v>
      </c>
      <c r="GE2" s="18" t="s">
        <v>38</v>
      </c>
      <c r="GF2" s="19" t="s">
        <v>96</v>
      </c>
      <c r="GG2" s="18" t="s">
        <v>96</v>
      </c>
      <c r="GH2" s="18" t="s">
        <v>96</v>
      </c>
      <c r="GI2" s="18" t="s">
        <v>96</v>
      </c>
      <c r="GJ2" s="16" t="s">
        <v>39</v>
      </c>
      <c r="GK2" s="18" t="s">
        <v>39</v>
      </c>
      <c r="GL2" s="18" t="s">
        <v>39</v>
      </c>
      <c r="GM2" s="18" t="s">
        <v>39</v>
      </c>
      <c r="GN2" s="19" t="s">
        <v>97</v>
      </c>
      <c r="GO2" s="18" t="s">
        <v>97</v>
      </c>
      <c r="GP2" s="18" t="s">
        <v>97</v>
      </c>
      <c r="GQ2" s="18" t="s">
        <v>97</v>
      </c>
      <c r="GR2" s="19" t="s">
        <v>98</v>
      </c>
      <c r="GS2" s="18" t="s">
        <v>98</v>
      </c>
      <c r="GT2" s="18" t="s">
        <v>98</v>
      </c>
      <c r="GU2" s="18" t="s">
        <v>98</v>
      </c>
      <c r="GV2" s="16" t="s">
        <v>40</v>
      </c>
      <c r="GW2" s="18" t="s">
        <v>40</v>
      </c>
      <c r="GX2" s="18" t="s">
        <v>40</v>
      </c>
      <c r="GY2" s="18" t="s">
        <v>40</v>
      </c>
      <c r="GZ2" s="19" t="s">
        <v>99</v>
      </c>
      <c r="HA2" s="18" t="s">
        <v>99</v>
      </c>
      <c r="HB2" s="18" t="s">
        <v>99</v>
      </c>
      <c r="HC2" s="18" t="s">
        <v>99</v>
      </c>
      <c r="HD2" s="19" t="s">
        <v>100</v>
      </c>
      <c r="HE2" s="18" t="s">
        <v>100</v>
      </c>
      <c r="HF2" s="18" t="s">
        <v>100</v>
      </c>
      <c r="HG2" s="18" t="s">
        <v>100</v>
      </c>
      <c r="HH2" s="18" t="s">
        <v>100</v>
      </c>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x14ac:dyDescent="0.2">
      <c r="A3" s="13" t="s">
        <v>101</v>
      </c>
      <c r="D3" s="8">
        <v>2005</v>
      </c>
      <c r="E3" s="20">
        <v>2004</v>
      </c>
      <c r="F3" s="20">
        <v>2003</v>
      </c>
      <c r="G3" s="20">
        <v>2002</v>
      </c>
      <c r="H3" s="20">
        <v>2001</v>
      </c>
      <c r="I3" s="20">
        <v>2000</v>
      </c>
      <c r="L3" s="20">
        <v>2004</v>
      </c>
      <c r="M3" s="20">
        <v>2003</v>
      </c>
      <c r="N3" s="7"/>
      <c r="P3" s="20">
        <v>2004</v>
      </c>
      <c r="Q3" s="20">
        <v>2003</v>
      </c>
      <c r="R3" s="20">
        <v>2002</v>
      </c>
      <c r="S3" s="20">
        <v>2001</v>
      </c>
      <c r="T3" s="20">
        <v>2000</v>
      </c>
      <c r="W3" s="20">
        <v>2004</v>
      </c>
      <c r="X3" s="20">
        <v>2003</v>
      </c>
      <c r="Y3" s="20">
        <v>2002</v>
      </c>
      <c r="Z3" s="20">
        <v>2001</v>
      </c>
      <c r="AA3" s="20">
        <v>2000</v>
      </c>
      <c r="AD3" s="20">
        <v>2004</v>
      </c>
      <c r="AE3" s="20">
        <v>2003</v>
      </c>
      <c r="AH3" s="20">
        <v>2004</v>
      </c>
      <c r="AI3" s="20">
        <v>2003</v>
      </c>
      <c r="AL3" s="20">
        <v>2004</v>
      </c>
      <c r="AM3" s="20">
        <v>2003</v>
      </c>
      <c r="AN3" s="20">
        <v>2002</v>
      </c>
      <c r="AO3" s="20">
        <v>2001</v>
      </c>
      <c r="AR3" s="20">
        <v>2004</v>
      </c>
      <c r="AS3" s="20">
        <v>2003</v>
      </c>
      <c r="AT3" s="20">
        <v>2002</v>
      </c>
      <c r="AU3" s="20">
        <v>2001</v>
      </c>
      <c r="AV3" s="20">
        <v>2000</v>
      </c>
      <c r="AY3" s="20">
        <v>2004</v>
      </c>
      <c r="AZ3" s="20">
        <v>2003</v>
      </c>
      <c r="BA3" s="9"/>
      <c r="BB3" s="21">
        <v>2004</v>
      </c>
      <c r="BC3" s="21">
        <v>2003</v>
      </c>
      <c r="BD3" s="21">
        <v>2002</v>
      </c>
      <c r="BE3" s="9"/>
      <c r="BG3" s="21">
        <v>2004</v>
      </c>
      <c r="BH3" s="21">
        <v>2003</v>
      </c>
      <c r="BI3" s="21">
        <v>2002</v>
      </c>
      <c r="BJ3" s="21">
        <v>2001</v>
      </c>
      <c r="BK3" s="21">
        <v>2001</v>
      </c>
      <c r="BL3" s="9"/>
      <c r="BN3" s="21">
        <v>2004</v>
      </c>
      <c r="BO3" s="21">
        <v>2003</v>
      </c>
      <c r="BP3" s="21">
        <v>2002</v>
      </c>
      <c r="BQ3" s="21">
        <v>2001</v>
      </c>
      <c r="BR3" s="21">
        <v>2000</v>
      </c>
      <c r="BT3" s="21">
        <v>2005</v>
      </c>
      <c r="BU3" s="21">
        <v>2004</v>
      </c>
      <c r="BV3" s="21">
        <v>2003</v>
      </c>
      <c r="BY3" s="20">
        <v>2003</v>
      </c>
      <c r="BZ3" s="20">
        <v>2002</v>
      </c>
      <c r="CA3" s="22"/>
      <c r="CB3" s="21"/>
      <c r="CC3" s="20">
        <v>2004</v>
      </c>
      <c r="CD3" s="20">
        <v>2003</v>
      </c>
      <c r="CE3" s="20">
        <v>2002</v>
      </c>
      <c r="CF3" s="20">
        <v>2001</v>
      </c>
      <c r="CI3" s="20">
        <v>2004</v>
      </c>
      <c r="CJ3" s="20">
        <v>2003</v>
      </c>
      <c r="CM3" s="20">
        <v>2004</v>
      </c>
      <c r="CN3" s="20">
        <v>2003</v>
      </c>
      <c r="CO3" s="20">
        <v>2002</v>
      </c>
      <c r="CP3" s="20">
        <v>2001</v>
      </c>
      <c r="CQ3" s="20">
        <v>2000</v>
      </c>
      <c r="CT3" s="20">
        <v>2004</v>
      </c>
      <c r="CU3" s="20">
        <v>2003</v>
      </c>
      <c r="CX3" s="20">
        <v>2004</v>
      </c>
      <c r="CY3" s="20">
        <v>2003</v>
      </c>
      <c r="CZ3" s="20">
        <v>2002</v>
      </c>
      <c r="DA3" s="20">
        <v>2001</v>
      </c>
      <c r="DD3" s="20">
        <v>2004</v>
      </c>
      <c r="DE3" s="20">
        <v>2003</v>
      </c>
      <c r="DH3" s="20">
        <v>2004</v>
      </c>
      <c r="DI3" s="20">
        <v>2003</v>
      </c>
      <c r="DJ3" s="20">
        <v>2002</v>
      </c>
      <c r="DK3" s="20">
        <v>2001</v>
      </c>
      <c r="DL3" s="20">
        <v>2000</v>
      </c>
      <c r="DO3" s="20">
        <v>2004</v>
      </c>
      <c r="DP3" s="20">
        <v>2003</v>
      </c>
      <c r="DQ3" s="20">
        <v>2002</v>
      </c>
      <c r="DR3" s="20">
        <v>2001</v>
      </c>
      <c r="DS3" s="20">
        <v>2000</v>
      </c>
      <c r="DV3" s="20">
        <v>2004</v>
      </c>
      <c r="DW3" s="20">
        <v>2003</v>
      </c>
      <c r="DZ3" s="20">
        <v>2004</v>
      </c>
      <c r="EA3" s="20">
        <v>2003</v>
      </c>
      <c r="ED3" s="20">
        <v>2004</v>
      </c>
      <c r="EE3" s="20">
        <v>2003</v>
      </c>
      <c r="EH3" s="20">
        <v>2004</v>
      </c>
      <c r="EI3" s="20">
        <v>2003</v>
      </c>
      <c r="EL3" s="20">
        <v>2004</v>
      </c>
      <c r="EM3" s="20">
        <v>2003</v>
      </c>
      <c r="EP3" s="20">
        <v>2004</v>
      </c>
      <c r="EQ3" s="20">
        <v>2003</v>
      </c>
      <c r="ET3" s="20">
        <v>2004</v>
      </c>
      <c r="EU3" s="20">
        <v>2003</v>
      </c>
      <c r="EX3" s="20">
        <v>2004</v>
      </c>
      <c r="EY3" s="20">
        <v>2003</v>
      </c>
      <c r="FB3" s="20">
        <v>2004</v>
      </c>
      <c r="FC3" s="20">
        <v>2004</v>
      </c>
      <c r="FF3" s="20">
        <v>2004</v>
      </c>
      <c r="FG3" s="20">
        <v>2003</v>
      </c>
      <c r="FJ3" s="20">
        <v>2004</v>
      </c>
      <c r="FK3" s="20">
        <v>2003</v>
      </c>
      <c r="FN3" s="20">
        <v>2004</v>
      </c>
      <c r="FO3" s="20">
        <v>2003</v>
      </c>
      <c r="FR3" s="20">
        <v>2004</v>
      </c>
      <c r="FS3" s="20">
        <v>2003</v>
      </c>
      <c r="FV3" s="20">
        <v>2004</v>
      </c>
      <c r="FW3" s="20">
        <v>2003</v>
      </c>
      <c r="FZ3" s="20">
        <v>2004</v>
      </c>
      <c r="GA3" s="20">
        <v>2003</v>
      </c>
      <c r="GD3" s="20">
        <v>2004</v>
      </c>
      <c r="GE3" s="20">
        <v>2003</v>
      </c>
      <c r="GH3" s="20">
        <v>2003</v>
      </c>
      <c r="GI3" s="20">
        <v>2002</v>
      </c>
      <c r="GL3" s="20">
        <v>2004</v>
      </c>
      <c r="GM3" s="20">
        <v>2003</v>
      </c>
      <c r="GP3" s="20">
        <v>2003</v>
      </c>
      <c r="GQ3" s="20">
        <v>2002</v>
      </c>
      <c r="GT3" s="20">
        <v>2004</v>
      </c>
      <c r="GU3" s="20">
        <v>2003</v>
      </c>
      <c r="GX3" s="20">
        <v>2004</v>
      </c>
      <c r="GY3" s="20">
        <v>2003</v>
      </c>
      <c r="HB3" s="20">
        <v>2004</v>
      </c>
      <c r="HC3" s="20">
        <v>2003</v>
      </c>
      <c r="HF3" s="20">
        <v>2003</v>
      </c>
      <c r="HG3" s="20">
        <v>2002</v>
      </c>
      <c r="HH3" s="20">
        <v>2001</v>
      </c>
    </row>
    <row r="4" spans="1:256" ht="15" x14ac:dyDescent="0.25">
      <c r="A4" s="13" t="s">
        <v>102</v>
      </c>
      <c r="E4" s="20" t="s">
        <v>103</v>
      </c>
      <c r="F4" s="20" t="s">
        <v>103</v>
      </c>
      <c r="G4" s="20" t="s">
        <v>104</v>
      </c>
      <c r="H4" s="20" t="s">
        <v>104</v>
      </c>
      <c r="I4" s="20" t="s">
        <v>104</v>
      </c>
      <c r="L4" s="20" t="s">
        <v>103</v>
      </c>
      <c r="M4" s="20" t="s">
        <v>103</v>
      </c>
      <c r="N4" s="7"/>
      <c r="P4" s="20" t="s">
        <v>105</v>
      </c>
      <c r="Q4" s="20" t="s">
        <v>105</v>
      </c>
      <c r="R4" s="20" t="s">
        <v>105</v>
      </c>
      <c r="S4" s="20" t="s">
        <v>105</v>
      </c>
      <c r="T4" s="20" t="s">
        <v>105</v>
      </c>
      <c r="W4" s="20" t="s">
        <v>106</v>
      </c>
      <c r="X4" s="20" t="s">
        <v>106</v>
      </c>
      <c r="Y4" s="20" t="s">
        <v>107</v>
      </c>
      <c r="Z4" s="20" t="s">
        <v>107</v>
      </c>
      <c r="AA4" s="20" t="s">
        <v>107</v>
      </c>
      <c r="AD4" s="20" t="s">
        <v>108</v>
      </c>
      <c r="AE4" s="20" t="s">
        <v>108</v>
      </c>
      <c r="AH4" s="20" t="s">
        <v>103</v>
      </c>
      <c r="AI4" s="20" t="s">
        <v>103</v>
      </c>
      <c r="AL4" s="20" t="s">
        <v>103</v>
      </c>
      <c r="AM4" s="20" t="s">
        <v>103</v>
      </c>
      <c r="AN4" s="20" t="s">
        <v>104</v>
      </c>
      <c r="AO4" s="20" t="s">
        <v>104</v>
      </c>
      <c r="AR4" s="20" t="s">
        <v>108</v>
      </c>
      <c r="AS4" s="20" t="s">
        <v>108</v>
      </c>
      <c r="AT4" s="20" t="s">
        <v>103</v>
      </c>
      <c r="AU4" s="20" t="s">
        <v>103</v>
      </c>
      <c r="AV4" s="20" t="s">
        <v>108</v>
      </c>
      <c r="AY4" s="20" t="s">
        <v>106</v>
      </c>
      <c r="AZ4" s="20" t="s">
        <v>106</v>
      </c>
      <c r="BA4" s="9"/>
      <c r="BB4" s="21" t="s">
        <v>109</v>
      </c>
      <c r="BC4" s="21" t="s">
        <v>109</v>
      </c>
      <c r="BD4" s="21" t="s">
        <v>109</v>
      </c>
      <c r="BE4" s="9"/>
      <c r="BG4" s="21" t="s">
        <v>105</v>
      </c>
      <c r="BH4" s="21" t="s">
        <v>105</v>
      </c>
      <c r="BI4" s="21" t="s">
        <v>105</v>
      </c>
      <c r="BJ4" s="21" t="s">
        <v>110</v>
      </c>
      <c r="BK4" s="21" t="s">
        <v>111</v>
      </c>
      <c r="BL4" s="9"/>
      <c r="BN4" s="21" t="s">
        <v>108</v>
      </c>
      <c r="BO4" s="21" t="s">
        <v>108</v>
      </c>
      <c r="BP4" s="21" t="s">
        <v>108</v>
      </c>
      <c r="BQ4" s="21" t="s">
        <v>108</v>
      </c>
      <c r="BR4" s="21" t="s">
        <v>108</v>
      </c>
      <c r="BT4" s="21" t="s">
        <v>103</v>
      </c>
      <c r="BU4" s="21" t="s">
        <v>103</v>
      </c>
      <c r="BV4" s="21" t="s">
        <v>103</v>
      </c>
      <c r="BY4" s="20" t="s">
        <v>109</v>
      </c>
      <c r="BZ4" s="20" t="s">
        <v>109</v>
      </c>
      <c r="CA4" s="22"/>
      <c r="CB4" s="21"/>
      <c r="CC4" s="20" t="s">
        <v>103</v>
      </c>
      <c r="CD4" s="20" t="s">
        <v>108</v>
      </c>
      <c r="CE4" s="20" t="s">
        <v>112</v>
      </c>
      <c r="CF4" s="20" t="s">
        <v>112</v>
      </c>
      <c r="CI4" s="20" t="s">
        <v>113</v>
      </c>
      <c r="CJ4" s="20" t="s">
        <v>113</v>
      </c>
      <c r="CM4" s="20" t="s">
        <v>103</v>
      </c>
      <c r="CN4" s="20" t="s">
        <v>103</v>
      </c>
      <c r="CO4" s="20" t="s">
        <v>104</v>
      </c>
      <c r="CP4" s="20" t="s">
        <v>104</v>
      </c>
      <c r="CQ4" s="20" t="s">
        <v>104</v>
      </c>
      <c r="CT4" s="20" t="s">
        <v>103</v>
      </c>
      <c r="CU4" s="20" t="s">
        <v>103</v>
      </c>
      <c r="CX4" s="20" t="s">
        <v>103</v>
      </c>
      <c r="CY4" s="20" t="s">
        <v>103</v>
      </c>
      <c r="CZ4" s="20" t="s">
        <v>104</v>
      </c>
      <c r="DA4" s="20" t="s">
        <v>104</v>
      </c>
      <c r="DD4" s="20" t="s">
        <v>108</v>
      </c>
      <c r="DE4" s="20" t="s">
        <v>108</v>
      </c>
      <c r="DH4" s="20" t="s">
        <v>108</v>
      </c>
      <c r="DI4" s="20" t="s">
        <v>108</v>
      </c>
      <c r="DJ4" s="20" t="s">
        <v>108</v>
      </c>
      <c r="DK4" s="20" t="s">
        <v>108</v>
      </c>
      <c r="DL4" s="20" t="s">
        <v>108</v>
      </c>
      <c r="DO4" s="20" t="s">
        <v>108</v>
      </c>
      <c r="DP4" s="20" t="s">
        <v>108</v>
      </c>
      <c r="DQ4" s="20" t="s">
        <v>108</v>
      </c>
      <c r="DR4" s="20" t="s">
        <v>108</v>
      </c>
      <c r="DS4" s="20" t="s">
        <v>108</v>
      </c>
      <c r="DV4" s="20" t="s">
        <v>108</v>
      </c>
      <c r="DW4" s="20" t="s">
        <v>108</v>
      </c>
      <c r="DZ4" s="20" t="s">
        <v>105</v>
      </c>
      <c r="EA4" s="20" t="s">
        <v>105</v>
      </c>
      <c r="ED4" s="20" t="s">
        <v>103</v>
      </c>
      <c r="EE4" s="20" t="s">
        <v>103</v>
      </c>
      <c r="EH4" s="20" t="s">
        <v>105</v>
      </c>
      <c r="EI4" s="20" t="s">
        <v>105</v>
      </c>
      <c r="EL4" s="20" t="s">
        <v>105</v>
      </c>
      <c r="EM4" s="20" t="s">
        <v>105</v>
      </c>
      <c r="EP4" s="20" t="s">
        <v>108</v>
      </c>
      <c r="EQ4" s="20" t="s">
        <v>108</v>
      </c>
      <c r="ET4" s="20" t="s">
        <v>108</v>
      </c>
      <c r="EU4" s="20" t="s">
        <v>108</v>
      </c>
      <c r="EX4" s="20" t="s">
        <v>108</v>
      </c>
      <c r="EY4" s="20" t="s">
        <v>108</v>
      </c>
      <c r="FB4" s="20" t="s">
        <v>114</v>
      </c>
      <c r="FC4" s="20" t="s">
        <v>108</v>
      </c>
      <c r="FF4" s="20" t="s">
        <v>108</v>
      </c>
      <c r="FG4" s="20" t="s">
        <v>108</v>
      </c>
      <c r="FJ4" s="20" t="s">
        <v>108</v>
      </c>
      <c r="FK4" s="20" t="s">
        <v>108</v>
      </c>
      <c r="FN4" s="20" t="s">
        <v>105</v>
      </c>
      <c r="FO4" s="20" t="s">
        <v>105</v>
      </c>
      <c r="FR4" s="20" t="s">
        <v>105</v>
      </c>
      <c r="FS4" s="20" t="s">
        <v>105</v>
      </c>
      <c r="FV4" s="20" t="s">
        <v>105</v>
      </c>
      <c r="FW4" s="20" t="s">
        <v>105</v>
      </c>
      <c r="FZ4" s="20" t="s">
        <v>108</v>
      </c>
      <c r="GA4" s="20" t="s">
        <v>108</v>
      </c>
      <c r="GD4" s="20" t="s">
        <v>108</v>
      </c>
      <c r="GE4" s="20" t="s">
        <v>108</v>
      </c>
      <c r="GH4" s="20" t="s">
        <v>109</v>
      </c>
      <c r="GI4" s="20" t="s">
        <v>109</v>
      </c>
      <c r="GL4" s="20" t="s">
        <v>108</v>
      </c>
      <c r="GM4" s="20" t="s">
        <v>108</v>
      </c>
      <c r="GP4" s="20" t="s">
        <v>109</v>
      </c>
      <c r="GQ4" s="20" t="s">
        <v>109</v>
      </c>
      <c r="GT4" s="20" t="s">
        <v>108</v>
      </c>
      <c r="GU4" s="20" t="s">
        <v>115</v>
      </c>
      <c r="GX4" s="20" t="s">
        <v>112</v>
      </c>
      <c r="GY4" s="20" t="s">
        <v>112</v>
      </c>
      <c r="HB4" s="20" t="s">
        <v>105</v>
      </c>
      <c r="HC4" s="20" t="s">
        <v>105</v>
      </c>
      <c r="HF4" s="20" t="s">
        <v>109</v>
      </c>
      <c r="HG4" s="20" t="s">
        <v>109</v>
      </c>
      <c r="HH4" s="20" t="s">
        <v>109</v>
      </c>
    </row>
    <row r="5" spans="1:256" s="27" customFormat="1" x14ac:dyDescent="0.2">
      <c r="A5" s="23" t="s">
        <v>116</v>
      </c>
      <c r="B5" s="24"/>
      <c r="C5" s="25"/>
      <c r="D5" s="25" t="str">
        <f>D2&amp;D3</f>
        <v>ABS Canterbury 2005</v>
      </c>
      <c r="E5" s="25" t="str">
        <f>E2&amp;E3</f>
        <v>ABS Canterbury 2004</v>
      </c>
      <c r="F5" s="25" t="str">
        <f>F2&amp;F3</f>
        <v>ABS Canterbury 2003</v>
      </c>
      <c r="G5" s="25" t="str">
        <f>G2&amp;G3</f>
        <v>ABS Canterbury 2002</v>
      </c>
      <c r="H5" s="25" t="str">
        <f>H2&amp;H3</f>
        <v>ABS Canterbury 2001</v>
      </c>
      <c r="I5" s="25"/>
      <c r="J5" s="25" t="str">
        <f t="shared" ref="J5:Z5" si="0">J2&amp;J3</f>
        <v>All Purpose Finance Ltd</v>
      </c>
      <c r="K5" s="25" t="str">
        <f t="shared" si="0"/>
        <v>All Purpose Finance Ltd</v>
      </c>
      <c r="L5" s="25" t="str">
        <f t="shared" si="0"/>
        <v>All Purpose Finance Ltd2004</v>
      </c>
      <c r="M5" s="25" t="str">
        <f t="shared" si="0"/>
        <v>All Purpose Finance Ltd2003</v>
      </c>
      <c r="N5" s="25" t="str">
        <f t="shared" si="0"/>
        <v>Allied Farmers Finance Ltd</v>
      </c>
      <c r="O5" s="25" t="str">
        <f t="shared" si="0"/>
        <v>Allied Farmers Finance Ltd</v>
      </c>
      <c r="P5" s="25" t="str">
        <f t="shared" si="0"/>
        <v>Allied Farmers Finance Ltd2004</v>
      </c>
      <c r="Q5" s="25" t="str">
        <f t="shared" si="0"/>
        <v>Allied Farmers Finance Ltd2003</v>
      </c>
      <c r="R5" s="25" t="str">
        <f t="shared" si="0"/>
        <v>Allied Farmers Finance Ltd2002</v>
      </c>
      <c r="S5" s="25" t="str">
        <f t="shared" si="0"/>
        <v>Allied Farmers Finance Ltd2001</v>
      </c>
      <c r="T5" s="25" t="str">
        <f t="shared" si="0"/>
        <v>Allied Farmers Finance Ltd2000</v>
      </c>
      <c r="U5" s="25" t="str">
        <f t="shared" si="0"/>
        <v>Ashburton Finance Ltd</v>
      </c>
      <c r="V5" s="25" t="str">
        <f t="shared" si="0"/>
        <v>Ashburton Finance Ltd</v>
      </c>
      <c r="W5" s="25" t="str">
        <f t="shared" si="0"/>
        <v>Ashburton Finance Ltd2004</v>
      </c>
      <c r="X5" s="25" t="str">
        <f t="shared" si="0"/>
        <v>Ashburton Finance Ltd2003</v>
      </c>
      <c r="Y5" s="25" t="str">
        <f t="shared" si="0"/>
        <v>Ashburton Finance Ltd2002</v>
      </c>
      <c r="Z5" s="25" t="str">
        <f t="shared" si="0"/>
        <v>Ashburton Finance Ltd2001</v>
      </c>
      <c r="AA5" s="25"/>
      <c r="AB5" s="25" t="str">
        <f t="shared" ref="AB5:AU5" si="1">AB2&amp;AB3</f>
        <v>Asset Finance Ltd</v>
      </c>
      <c r="AC5" s="25" t="str">
        <f t="shared" si="1"/>
        <v>Asset Finance Ltd</v>
      </c>
      <c r="AD5" s="25" t="str">
        <f t="shared" si="1"/>
        <v>Asset Finance Ltd2004</v>
      </c>
      <c r="AE5" s="25" t="str">
        <f t="shared" si="1"/>
        <v>Asset Finance Ltd2003</v>
      </c>
      <c r="AF5" s="25" t="str">
        <f t="shared" si="1"/>
        <v>Avon Inestment Ltd</v>
      </c>
      <c r="AG5" s="25" t="str">
        <f t="shared" si="1"/>
        <v>Avon Inestment Ltd</v>
      </c>
      <c r="AH5" s="25" t="str">
        <f t="shared" si="1"/>
        <v>Avon Inestment Ltd2004</v>
      </c>
      <c r="AI5" s="25" t="str">
        <f t="shared" si="1"/>
        <v>Avon Inestment Ltd2003</v>
      </c>
      <c r="AJ5" s="25" t="str">
        <f t="shared" si="1"/>
        <v>Belgrave Finance Ltd</v>
      </c>
      <c r="AK5" s="25" t="str">
        <f t="shared" si="1"/>
        <v>Belgrave Finance Ltd</v>
      </c>
      <c r="AL5" s="25" t="str">
        <f t="shared" si="1"/>
        <v>Belgrave Finance Ltd2004</v>
      </c>
      <c r="AM5" s="25" t="str">
        <f t="shared" si="1"/>
        <v>Belgrave Finance Ltd2003</v>
      </c>
      <c r="AN5" s="25" t="str">
        <f t="shared" si="1"/>
        <v>Belgrave Finance Ltd2002</v>
      </c>
      <c r="AO5" s="25" t="str">
        <f t="shared" si="1"/>
        <v>Belgrave Finance Ltd2001</v>
      </c>
      <c r="AP5" s="25" t="str">
        <f t="shared" si="1"/>
        <v>Beneficial Finance Ltd</v>
      </c>
      <c r="AQ5" s="25" t="str">
        <f t="shared" si="1"/>
        <v>Beneficial Finance Ltd</v>
      </c>
      <c r="AR5" s="25" t="str">
        <f t="shared" si="1"/>
        <v>Beneficial Finance Ltd2004</v>
      </c>
      <c r="AS5" s="25" t="str">
        <f t="shared" si="1"/>
        <v>Beneficial Finance Ltd2003</v>
      </c>
      <c r="AT5" s="25" t="str">
        <f t="shared" si="1"/>
        <v>Beneficial Finance Ltd2002</v>
      </c>
      <c r="AU5" s="25" t="str">
        <f t="shared" si="1"/>
        <v>Beneficial Finance Ltd2001</v>
      </c>
      <c r="AV5" s="25"/>
      <c r="AW5" s="25" t="str">
        <f t="shared" ref="AW5:CD5" si="2">AW2&amp;AW3</f>
        <v>BIL financial Ltd</v>
      </c>
      <c r="AX5" s="25" t="str">
        <f t="shared" si="2"/>
        <v>BIL financial Ltd</v>
      </c>
      <c r="AY5" s="25" t="str">
        <f t="shared" si="2"/>
        <v>BIL financial Ltd2004</v>
      </c>
      <c r="AZ5" s="25" t="str">
        <f t="shared" si="2"/>
        <v>BIL financial Ltd2003</v>
      </c>
      <c r="BA5" s="25" t="str">
        <f t="shared" si="2"/>
        <v>BMW Financial Service New Zealand Ltd</v>
      </c>
      <c r="BB5" s="25" t="str">
        <f t="shared" si="2"/>
        <v>BMW Financial Service New Zealand Ltd2004</v>
      </c>
      <c r="BC5" s="25" t="str">
        <f t="shared" si="2"/>
        <v>BMW Financial Service New Zealand Ltd2003</v>
      </c>
      <c r="BD5" s="25" t="str">
        <f t="shared" si="2"/>
        <v>BMW Financial Service New Zealand Ltd2002</v>
      </c>
      <c r="BE5" s="25" t="str">
        <f t="shared" si="2"/>
        <v>Bridgecorp Ltd</v>
      </c>
      <c r="BF5" s="25" t="str">
        <f t="shared" si="2"/>
        <v>Bridgecorp Ltd</v>
      </c>
      <c r="BG5" s="25" t="str">
        <f t="shared" si="2"/>
        <v>Bridgecorp Ltd2004</v>
      </c>
      <c r="BH5" s="25" t="str">
        <f t="shared" si="2"/>
        <v>Bridgecorp Ltd2003</v>
      </c>
      <c r="BI5" s="25" t="str">
        <f t="shared" si="2"/>
        <v>Bridgecorp Ltd2002</v>
      </c>
      <c r="BJ5" s="25" t="str">
        <f t="shared" si="2"/>
        <v>Bridgecorp Ltd2001</v>
      </c>
      <c r="BK5" s="25" t="str">
        <f t="shared" si="2"/>
        <v>Bridgecorp Ltd2001</v>
      </c>
      <c r="BL5" s="25" t="str">
        <f t="shared" si="2"/>
        <v>Broadlands Finance Ltd</v>
      </c>
      <c r="BM5" s="25" t="str">
        <f t="shared" si="2"/>
        <v>Broadlands Finance Ltd</v>
      </c>
      <c r="BN5" s="25" t="str">
        <f t="shared" si="2"/>
        <v>Broadlands Finance Ltd2004</v>
      </c>
      <c r="BO5" s="25" t="str">
        <f t="shared" si="2"/>
        <v>Broadlands Finance Ltd2003</v>
      </c>
      <c r="BP5" s="25" t="str">
        <f t="shared" si="2"/>
        <v>Broadlands Finance Ltd2002</v>
      </c>
      <c r="BQ5" s="25" t="str">
        <f t="shared" si="2"/>
        <v>Broadlands Finance Ltd2001</v>
      </c>
      <c r="BR5" s="25" t="str">
        <f t="shared" si="2"/>
        <v>Broadlands Finance Ltd2000</v>
      </c>
      <c r="BS5" s="25" t="str">
        <f t="shared" si="2"/>
        <v>Business Finance Ltd</v>
      </c>
      <c r="BT5" s="25" t="str">
        <f t="shared" si="2"/>
        <v>Business Finance Ltd2005</v>
      </c>
      <c r="BU5" s="25" t="str">
        <f t="shared" si="2"/>
        <v>Business Finance Ltd2004</v>
      </c>
      <c r="BV5" s="25" t="str">
        <f t="shared" si="2"/>
        <v>Business Finance Ltd2003</v>
      </c>
      <c r="BW5" s="25" t="str">
        <f t="shared" si="2"/>
        <v>Canon Finance New Zealand Ltd</v>
      </c>
      <c r="BX5" s="25" t="str">
        <f t="shared" si="2"/>
        <v>Canon Finance New Zealand Ltd</v>
      </c>
      <c r="BY5" s="25" t="str">
        <f t="shared" si="2"/>
        <v>Canon Finance New Zealand Ltd2003</v>
      </c>
      <c r="BZ5" s="25" t="str">
        <f t="shared" si="2"/>
        <v>Canon Finance New Zealand Ltd2002</v>
      </c>
      <c r="CA5" s="25" t="str">
        <f t="shared" si="2"/>
        <v>Capital+Merchant Finance LTd</v>
      </c>
      <c r="CB5" s="25" t="str">
        <f t="shared" si="2"/>
        <v>Capital+Merchant Finance LTd</v>
      </c>
      <c r="CC5" s="25" t="str">
        <f t="shared" si="2"/>
        <v>Capital+Merchant Finance LTd2004</v>
      </c>
      <c r="CD5" s="25" t="str">
        <f t="shared" si="2"/>
        <v>Capital+Merchant Finance LTd2003</v>
      </c>
      <c r="CE5" s="25"/>
      <c r="CF5" s="25"/>
      <c r="CG5" s="25" t="str">
        <f t="shared" ref="CG5:CY5" si="3">CG2&amp;CG3</f>
        <v>Centurion Finance Ltd</v>
      </c>
      <c r="CH5" s="25" t="str">
        <f t="shared" si="3"/>
        <v>Centurion Finance Ltd</v>
      </c>
      <c r="CI5" s="25" t="str">
        <f t="shared" si="3"/>
        <v>Centurion Finance Ltd2004</v>
      </c>
      <c r="CJ5" s="25" t="str">
        <f t="shared" si="3"/>
        <v>Centurion Finance Ltd2003</v>
      </c>
      <c r="CK5" s="25" t="str">
        <f t="shared" si="3"/>
        <v>Challenge Finance Ltd</v>
      </c>
      <c r="CL5" s="25" t="str">
        <f t="shared" si="3"/>
        <v>Challenge Finance Ltd</v>
      </c>
      <c r="CM5" s="25" t="str">
        <f t="shared" si="3"/>
        <v>Challenge Finance Ltd2004</v>
      </c>
      <c r="CN5" s="25" t="str">
        <f t="shared" si="3"/>
        <v>Challenge Finance Ltd2003</v>
      </c>
      <c r="CO5" s="25" t="str">
        <f t="shared" si="3"/>
        <v>Challenge Finance Ltd2002</v>
      </c>
      <c r="CP5" s="25" t="str">
        <f t="shared" si="3"/>
        <v>Challenge Finance Ltd2001</v>
      </c>
      <c r="CQ5" s="25" t="str">
        <f t="shared" si="3"/>
        <v>Challenge Finance Ltd2000</v>
      </c>
      <c r="CR5" s="25" t="str">
        <f t="shared" si="3"/>
        <v>Citywide Capital Ltd</v>
      </c>
      <c r="CS5" s="25" t="str">
        <f t="shared" si="3"/>
        <v>Citywide Capital Ltd</v>
      </c>
      <c r="CT5" s="25" t="str">
        <f t="shared" si="3"/>
        <v>Citywide Capital Ltd2004</v>
      </c>
      <c r="CU5" s="25" t="str">
        <f t="shared" si="3"/>
        <v>Citywide Capital Ltd2003</v>
      </c>
      <c r="CV5" s="25" t="str">
        <f t="shared" si="3"/>
        <v>Clegg &amp; Co Finance Ltd</v>
      </c>
      <c r="CW5" s="25" t="str">
        <f t="shared" si="3"/>
        <v>Clegg &amp; Co Finance Ltd</v>
      </c>
      <c r="CX5" s="25" t="str">
        <f t="shared" si="3"/>
        <v>Clegg &amp; Co Finance Ltd2004</v>
      </c>
      <c r="CY5" s="25" t="str">
        <f t="shared" si="3"/>
        <v>Clegg &amp; Co Finance Ltd2003</v>
      </c>
      <c r="CZ5" s="25"/>
      <c r="DA5" s="25"/>
      <c r="DB5" s="25" t="str">
        <f t="shared" ref="DB5:DI5" si="4">DB2&amp;DB3</f>
        <v>Dealer Finance Ltd</v>
      </c>
      <c r="DC5" s="25" t="str">
        <f t="shared" si="4"/>
        <v>Dealer Finance Ltd</v>
      </c>
      <c r="DD5" s="25" t="str">
        <f t="shared" si="4"/>
        <v>Dealer Finance Ltd2004</v>
      </c>
      <c r="DE5" s="25" t="str">
        <f t="shared" si="4"/>
        <v>Dealer Finance Ltd2003</v>
      </c>
      <c r="DF5" s="25" t="str">
        <f t="shared" si="4"/>
        <v>Dominon Finance Group Ltd</v>
      </c>
      <c r="DG5" s="25" t="str">
        <f t="shared" si="4"/>
        <v>Dominon Finance Group Ltd</v>
      </c>
      <c r="DH5" s="25" t="str">
        <f t="shared" si="4"/>
        <v>Dominon Finance Group Ltd2004</v>
      </c>
      <c r="DI5" s="25" t="str">
        <f t="shared" si="4"/>
        <v>Dominon Finance Group Ltd2003</v>
      </c>
      <c r="DJ5" s="25"/>
      <c r="DK5" s="25"/>
      <c r="DL5" s="25"/>
      <c r="DM5" s="25" t="str">
        <f t="shared" ref="DM5:FX5" si="5">DM2&amp;DM3</f>
        <v>Dorchester Finance Ltd</v>
      </c>
      <c r="DN5" s="25" t="str">
        <f t="shared" si="5"/>
        <v>Dorchester Finance Ltd</v>
      </c>
      <c r="DO5" s="25" t="str">
        <f t="shared" si="5"/>
        <v>Dorchester Finance Ltd2004</v>
      </c>
      <c r="DP5" s="25" t="str">
        <f t="shared" si="5"/>
        <v>Dorchester Finance Ltd2003</v>
      </c>
      <c r="DQ5" s="25" t="str">
        <f t="shared" si="5"/>
        <v>Dorchester Finance Ltd2002</v>
      </c>
      <c r="DR5" s="25" t="str">
        <f t="shared" si="5"/>
        <v>Dorchester Finance Ltd2001</v>
      </c>
      <c r="DS5" s="25" t="str">
        <f t="shared" si="5"/>
        <v>Dorchester Finance Ltd2000</v>
      </c>
      <c r="DT5" s="25" t="str">
        <f t="shared" si="5"/>
        <v>Eagle Finance Ltd</v>
      </c>
      <c r="DU5" s="25" t="str">
        <f t="shared" si="5"/>
        <v>Eagle Finance Ltd</v>
      </c>
      <c r="DV5" s="25" t="str">
        <f t="shared" si="5"/>
        <v>Eagle Finance Ltd2004</v>
      </c>
      <c r="DW5" s="25" t="str">
        <f t="shared" si="5"/>
        <v>Eagle Finance Ltd2003</v>
      </c>
      <c r="DX5" s="25" t="str">
        <f t="shared" si="5"/>
        <v>Elders Finance Ltd</v>
      </c>
      <c r="DY5" s="25" t="str">
        <f t="shared" si="5"/>
        <v>Elders Finance Ltd</v>
      </c>
      <c r="DZ5" s="25" t="str">
        <f t="shared" si="5"/>
        <v>Elders Finance Ltd2004</v>
      </c>
      <c r="EA5" s="25" t="str">
        <f t="shared" si="5"/>
        <v>Elders Finance Ltd2003</v>
      </c>
      <c r="EB5" s="25" t="str">
        <f t="shared" si="5"/>
        <v>Equitable Mortgage Income Trust</v>
      </c>
      <c r="EC5" s="25" t="str">
        <f t="shared" si="5"/>
        <v>Equitable Mortgage Income Trust</v>
      </c>
      <c r="ED5" s="25" t="str">
        <f t="shared" si="5"/>
        <v>Equitable Mortgage Income Trust2004</v>
      </c>
      <c r="EE5" s="25" t="str">
        <f t="shared" si="5"/>
        <v>Equitable Mortgage Income Trust2003</v>
      </c>
      <c r="EF5" s="25" t="str">
        <f t="shared" si="5"/>
        <v>Evia Finance Ltd</v>
      </c>
      <c r="EG5" s="25" t="str">
        <f t="shared" si="5"/>
        <v>Evia Finance Ltd</v>
      </c>
      <c r="EH5" s="25" t="str">
        <f t="shared" si="5"/>
        <v>Evia Finance Ltd2004</v>
      </c>
      <c r="EI5" s="25" t="str">
        <f t="shared" si="5"/>
        <v>Evia Finance Ltd2003</v>
      </c>
      <c r="EJ5" s="25" t="str">
        <f t="shared" si="5"/>
        <v>FAI Finance Ltd</v>
      </c>
      <c r="EK5" s="25" t="str">
        <f t="shared" si="5"/>
        <v>FAI Finance Ltd</v>
      </c>
      <c r="EL5" s="25" t="str">
        <f t="shared" si="5"/>
        <v>FAI Finance Ltd2004</v>
      </c>
      <c r="EM5" s="25" t="str">
        <f t="shared" si="5"/>
        <v>FAI Finance Ltd2003</v>
      </c>
      <c r="EN5" s="25" t="str">
        <f t="shared" si="5"/>
        <v>Fairfield Finance Ltd</v>
      </c>
      <c r="EO5" s="25" t="str">
        <f t="shared" si="5"/>
        <v>Fairfield Finance Ltd</v>
      </c>
      <c r="EP5" s="25" t="str">
        <f t="shared" si="5"/>
        <v>Fairfield Finance Ltd2004</v>
      </c>
      <c r="EQ5" s="25" t="str">
        <f t="shared" si="5"/>
        <v>Fairfield Finance Ltd2003</v>
      </c>
      <c r="ER5" s="25" t="str">
        <f t="shared" si="5"/>
        <v>Farmers' Mutual Finance Ltd</v>
      </c>
      <c r="ES5" s="25" t="str">
        <f t="shared" si="5"/>
        <v>Farmers' Mutual Finance Ltd</v>
      </c>
      <c r="ET5" s="25" t="str">
        <f t="shared" si="5"/>
        <v>Farmers' Mutual Finance Ltd2004</v>
      </c>
      <c r="EU5" s="25" t="str">
        <f t="shared" si="5"/>
        <v>Farmers' Mutual Finance Ltd2003</v>
      </c>
      <c r="EV5" s="25" t="str">
        <f t="shared" si="5"/>
        <v>Finance Direct Ltd</v>
      </c>
      <c r="EW5" s="25" t="str">
        <f t="shared" si="5"/>
        <v>Finance Direct Ltd</v>
      </c>
      <c r="EX5" s="25" t="str">
        <f t="shared" si="5"/>
        <v>Finance Direct Ltd2004</v>
      </c>
      <c r="EY5" s="25" t="str">
        <f t="shared" si="5"/>
        <v>Finance Direct Ltd2003</v>
      </c>
      <c r="EZ5" s="25" t="str">
        <f t="shared" si="5"/>
        <v>First Eastern Finance Ltd</v>
      </c>
      <c r="FA5" s="25" t="str">
        <f t="shared" si="5"/>
        <v>First Eastern Finance Ltd</v>
      </c>
      <c r="FB5" s="25" t="str">
        <f t="shared" si="5"/>
        <v>First Eastern Finance Ltd2004</v>
      </c>
      <c r="FC5" s="25" t="str">
        <f t="shared" si="5"/>
        <v>First Eastern Finance Ltd2004</v>
      </c>
      <c r="FD5" s="25" t="str">
        <f t="shared" si="5"/>
        <v>Fisher&amp;Paykel Finance Ltd</v>
      </c>
      <c r="FE5" s="25" t="str">
        <f t="shared" si="5"/>
        <v>Fisher&amp;Paykel Finance Ltd</v>
      </c>
      <c r="FF5" s="25" t="str">
        <f t="shared" si="5"/>
        <v>Fisher&amp;Paykel Finance Ltd2004</v>
      </c>
      <c r="FG5" s="25" t="str">
        <f t="shared" si="5"/>
        <v>Fisher&amp;Paykel Finance Ltd2003</v>
      </c>
      <c r="FH5" s="25" t="str">
        <f t="shared" si="5"/>
        <v>Five Star Consumer Finance Ltd</v>
      </c>
      <c r="FI5" s="25" t="str">
        <f t="shared" si="5"/>
        <v>Five Star Consumer Finance Ltd</v>
      </c>
      <c r="FJ5" s="25" t="str">
        <f t="shared" si="5"/>
        <v>Five Star Consumer Finance Ltd2004</v>
      </c>
      <c r="FK5" s="25" t="str">
        <f t="shared" si="5"/>
        <v>Five Star Consumer Finance Ltd2003</v>
      </c>
      <c r="FL5" s="25" t="str">
        <f t="shared" si="5"/>
        <v>Fletcher Building Finance Ltd</v>
      </c>
      <c r="FM5" s="25" t="str">
        <f t="shared" si="5"/>
        <v>Fletcher Building Finance Ltd</v>
      </c>
      <c r="FN5" s="25" t="str">
        <f t="shared" si="5"/>
        <v>Fletcher Building Finance Ltd2004</v>
      </c>
      <c r="FO5" s="25" t="str">
        <f t="shared" si="5"/>
        <v>Fletcher Building Finance Ltd2003</v>
      </c>
      <c r="FP5" s="25" t="str">
        <f t="shared" si="5"/>
        <v>Flexirent Capital New Zealand Ltd</v>
      </c>
      <c r="FQ5" s="25" t="str">
        <f t="shared" si="5"/>
        <v>Flexirent Capital New Zealand Ltd</v>
      </c>
      <c r="FR5" s="25" t="str">
        <f t="shared" si="5"/>
        <v>Flexirent Capital New Zealand Ltd2004</v>
      </c>
      <c r="FS5" s="25" t="str">
        <f t="shared" si="5"/>
        <v>Flexirent Capital New Zealand Ltd2003</v>
      </c>
      <c r="FT5" s="25" t="str">
        <f t="shared" si="5"/>
        <v>Focus Capital Group</v>
      </c>
      <c r="FU5" s="25" t="str">
        <f t="shared" si="5"/>
        <v>Focus Capital Group</v>
      </c>
      <c r="FV5" s="25" t="str">
        <f t="shared" si="5"/>
        <v>Focus Capital Group2004</v>
      </c>
      <c r="FW5" s="25" t="str">
        <f t="shared" si="5"/>
        <v>Focus Capital Group2003</v>
      </c>
      <c r="FX5" s="25" t="str">
        <f t="shared" si="5"/>
        <v>Fuji Xerox Finance Ltd</v>
      </c>
      <c r="FY5" s="26"/>
      <c r="FZ5" s="25" t="str">
        <f t="shared" ref="FZ5:HH5" si="6">FZ2&amp;FZ3</f>
        <v>Fuji Xerox Finance Ltd2004</v>
      </c>
      <c r="GA5" s="25" t="str">
        <f t="shared" si="6"/>
        <v>Fuji Xerox Finance Ltd2003</v>
      </c>
      <c r="GB5" s="25" t="str">
        <f t="shared" si="6"/>
        <v>General Finance Ltd</v>
      </c>
      <c r="GC5" s="25" t="str">
        <f t="shared" si="6"/>
        <v>General Finance Ltd</v>
      </c>
      <c r="GD5" s="25" t="str">
        <f t="shared" si="6"/>
        <v>General Finance Ltd2004</v>
      </c>
      <c r="GE5" s="25" t="str">
        <f t="shared" si="6"/>
        <v>General Finance Ltd2003</v>
      </c>
      <c r="GF5" s="25" t="str">
        <f t="shared" si="6"/>
        <v>General Motors Acceptance Corporation (NZ) Ltd</v>
      </c>
      <c r="GG5" s="25" t="str">
        <f t="shared" si="6"/>
        <v>General Motors Acceptance Corporation (NZ) Ltd</v>
      </c>
      <c r="GH5" s="25" t="str">
        <f t="shared" si="6"/>
        <v>General Motors Acceptance Corporation (NZ) Ltd2003</v>
      </c>
      <c r="GI5" s="25" t="str">
        <f t="shared" si="6"/>
        <v>General Motors Acceptance Corporation (NZ) Ltd2002</v>
      </c>
      <c r="GJ5" s="25" t="str">
        <f t="shared" si="6"/>
        <v>Geneva Finance Ltd</v>
      </c>
      <c r="GK5" s="25" t="str">
        <f t="shared" si="6"/>
        <v>Geneva Finance Ltd</v>
      </c>
      <c r="GL5" s="25" t="str">
        <f t="shared" si="6"/>
        <v>Geneva Finance Ltd2004</v>
      </c>
      <c r="GM5" s="25" t="str">
        <f t="shared" si="6"/>
        <v>Geneva Finance Ltd2003</v>
      </c>
      <c r="GN5" s="25" t="str">
        <f t="shared" si="6"/>
        <v>GE Finance and Insurance</v>
      </c>
      <c r="GO5" s="25" t="str">
        <f t="shared" si="6"/>
        <v>GE Finance and Insurance</v>
      </c>
      <c r="GP5" s="25" t="str">
        <f t="shared" si="6"/>
        <v>GE Finance and Insurance2003</v>
      </c>
      <c r="GQ5" s="25" t="str">
        <f t="shared" si="6"/>
        <v>GE Finance and Insurance2002</v>
      </c>
      <c r="GR5" s="25" t="str">
        <f t="shared" si="6"/>
        <v>Global Corporate Credit Ltd</v>
      </c>
      <c r="GS5" s="25" t="str">
        <f t="shared" si="6"/>
        <v>Global Corporate Credit Ltd</v>
      </c>
      <c r="GT5" s="25" t="str">
        <f t="shared" si="6"/>
        <v>Global Corporate Credit Ltd2004</v>
      </c>
      <c r="GU5" s="25" t="str">
        <f t="shared" si="6"/>
        <v>Global Corporate Credit Ltd2003</v>
      </c>
      <c r="GV5" s="25" t="str">
        <f t="shared" si="6"/>
        <v>Gold Band Finance Ltd</v>
      </c>
      <c r="GW5" s="25" t="str">
        <f t="shared" si="6"/>
        <v>Gold Band Finance Ltd</v>
      </c>
      <c r="GX5" s="25" t="str">
        <f t="shared" si="6"/>
        <v>Gold Band Finance Ltd2004</v>
      </c>
      <c r="GY5" s="25" t="str">
        <f t="shared" si="6"/>
        <v>Gold Band Finance Ltd2003</v>
      </c>
      <c r="GZ5" s="25" t="str">
        <f t="shared" si="6"/>
        <v>Goodman Finance Ltd</v>
      </c>
      <c r="HA5" s="25" t="str">
        <f t="shared" si="6"/>
        <v>Goodman Finance Ltd</v>
      </c>
      <c r="HB5" s="25" t="str">
        <f t="shared" si="6"/>
        <v>Goodman Finance Ltd2004</v>
      </c>
      <c r="HC5" s="25" t="str">
        <f t="shared" si="6"/>
        <v>Goodman Finance Ltd2003</v>
      </c>
      <c r="HD5" s="25" t="str">
        <f t="shared" si="6"/>
        <v>GPG Finance Ltd</v>
      </c>
      <c r="HE5" s="25" t="str">
        <f t="shared" si="6"/>
        <v>GPG Finance Ltd</v>
      </c>
      <c r="HF5" s="25" t="str">
        <f t="shared" si="6"/>
        <v>GPG Finance Ltd2003</v>
      </c>
      <c r="HG5" s="25" t="str">
        <f t="shared" si="6"/>
        <v>GPG Finance Ltd2002</v>
      </c>
      <c r="HH5" s="25" t="str">
        <f t="shared" si="6"/>
        <v>GPG Finance Ltd2001</v>
      </c>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x14ac:dyDescent="0.2">
      <c r="A6" s="4" t="s">
        <v>117</v>
      </c>
      <c r="C6" s="28"/>
      <c r="D6" s="29"/>
      <c r="E6" s="30"/>
      <c r="F6" s="30"/>
      <c r="G6" s="30"/>
      <c r="H6" s="30"/>
      <c r="I6" s="30"/>
      <c r="J6" s="31"/>
      <c r="K6" s="30"/>
      <c r="L6" s="32"/>
      <c r="M6" s="32"/>
      <c r="N6" s="28"/>
      <c r="O6" s="29"/>
      <c r="P6" s="32"/>
      <c r="Q6" s="32"/>
      <c r="R6" s="32"/>
      <c r="S6" s="32"/>
      <c r="T6" s="32"/>
      <c r="U6" s="31"/>
      <c r="V6" s="30"/>
      <c r="W6" s="32"/>
      <c r="X6" s="32"/>
      <c r="Y6" s="32"/>
      <c r="Z6" s="32"/>
      <c r="AA6" s="32"/>
      <c r="AB6" s="31"/>
      <c r="AC6" s="30"/>
      <c r="AD6" s="32"/>
      <c r="AE6" s="32"/>
      <c r="AF6" s="31"/>
      <c r="AG6" s="30"/>
      <c r="AH6" s="32"/>
      <c r="AI6" s="32"/>
      <c r="AJ6" s="31"/>
      <c r="AK6" s="30"/>
      <c r="AL6" s="32"/>
      <c r="AM6" s="32"/>
      <c r="AN6" s="32"/>
      <c r="AO6" s="32"/>
      <c r="AP6" s="31"/>
      <c r="AQ6" s="30"/>
      <c r="AR6" s="32"/>
      <c r="AS6" s="32"/>
      <c r="AT6" s="32"/>
      <c r="AU6" s="32"/>
      <c r="AV6" s="32"/>
      <c r="AW6" s="31"/>
      <c r="AX6" s="30"/>
      <c r="AY6" s="32"/>
      <c r="AZ6" s="32"/>
      <c r="BA6" s="31"/>
      <c r="BB6" s="30"/>
      <c r="BC6" s="30"/>
      <c r="BD6" s="30"/>
      <c r="BE6" s="31"/>
      <c r="BF6" s="30"/>
      <c r="BG6" s="30"/>
      <c r="BH6" s="30"/>
      <c r="BI6" s="30"/>
      <c r="BJ6" s="30"/>
      <c r="BK6" s="30"/>
      <c r="BL6" s="31"/>
      <c r="BM6" s="30"/>
      <c r="BN6" s="30"/>
      <c r="BO6" s="30"/>
      <c r="BP6" s="30"/>
      <c r="BQ6" s="30"/>
      <c r="BR6" s="30"/>
      <c r="BS6" s="31"/>
      <c r="BT6" s="30"/>
      <c r="BU6" s="30"/>
      <c r="BV6" s="30"/>
      <c r="BW6" s="31"/>
      <c r="BX6" s="30"/>
      <c r="BY6" s="32"/>
      <c r="BZ6" s="32"/>
      <c r="CA6" s="31"/>
      <c r="CB6" s="30"/>
      <c r="CC6" s="32"/>
      <c r="CD6" s="32"/>
      <c r="CE6" s="32"/>
      <c r="CF6" s="32"/>
      <c r="CG6" s="31"/>
      <c r="CH6" s="30"/>
      <c r="CI6" s="32"/>
      <c r="CJ6" s="32"/>
      <c r="CK6" s="31"/>
      <c r="CL6" s="30"/>
      <c r="CM6" s="32"/>
      <c r="CN6" s="32"/>
      <c r="CO6" s="32"/>
      <c r="CP6" s="32"/>
      <c r="CQ6" s="32"/>
      <c r="CR6" s="31"/>
      <c r="CS6" s="30"/>
      <c r="CT6" s="32"/>
      <c r="CU6" s="32"/>
      <c r="CV6" s="31"/>
      <c r="CW6" s="30"/>
      <c r="CX6" s="32"/>
      <c r="CY6" s="32"/>
      <c r="CZ6" s="32"/>
      <c r="DA6" s="32"/>
      <c r="DB6" s="31"/>
      <c r="DC6" s="30"/>
      <c r="DD6" s="32"/>
      <c r="DE6" s="32"/>
      <c r="DF6" s="31"/>
      <c r="DG6" s="30"/>
      <c r="DH6" s="32"/>
      <c r="DI6" s="32"/>
      <c r="DJ6" s="32"/>
      <c r="DK6" s="32"/>
      <c r="DL6" s="32"/>
      <c r="DM6" s="31"/>
      <c r="DN6" s="30"/>
      <c r="DO6" s="32"/>
      <c r="DP6" s="32"/>
      <c r="DQ6" s="32"/>
      <c r="DR6" s="32"/>
      <c r="DS6" s="32"/>
      <c r="DT6" s="31"/>
      <c r="DU6" s="30"/>
      <c r="DV6" s="32"/>
      <c r="DW6" s="32"/>
      <c r="DX6" s="31"/>
      <c r="DY6" s="30"/>
      <c r="DZ6" s="32"/>
      <c r="EA6" s="32"/>
      <c r="EB6" s="31"/>
      <c r="EC6" s="30"/>
      <c r="ED6" s="32"/>
      <c r="EE6" s="32"/>
      <c r="EF6" s="31"/>
      <c r="EG6" s="30"/>
      <c r="EH6" s="32"/>
      <c r="EI6" s="32"/>
      <c r="EJ6" s="31"/>
      <c r="EK6" s="30"/>
      <c r="EL6" s="32"/>
      <c r="EM6" s="32"/>
      <c r="EN6" s="31"/>
      <c r="EO6" s="30"/>
      <c r="EP6" s="32"/>
      <c r="EQ6" s="32"/>
      <c r="ET6" s="32"/>
      <c r="EU6" s="32"/>
      <c r="EX6" s="32"/>
      <c r="EY6" s="32"/>
      <c r="FB6" s="32"/>
      <c r="FC6" s="32"/>
      <c r="FF6" s="32"/>
      <c r="FG6" s="32"/>
      <c r="FJ6" s="32"/>
      <c r="FK6" s="32"/>
      <c r="FN6" s="32"/>
      <c r="FO6" s="32"/>
      <c r="FR6" s="32"/>
      <c r="FS6" s="32"/>
      <c r="FV6" s="32"/>
      <c r="FW6" s="32"/>
      <c r="FZ6" s="32"/>
      <c r="GA6" s="32"/>
      <c r="GD6" s="32"/>
      <c r="GE6" s="32"/>
      <c r="GH6" s="32"/>
      <c r="GI6" s="32"/>
      <c r="GL6" s="32"/>
      <c r="GM6" s="32"/>
      <c r="GP6" s="32"/>
      <c r="GQ6" s="32"/>
      <c r="GT6" s="32"/>
      <c r="GU6" s="32"/>
      <c r="GX6" s="32"/>
      <c r="GY6" s="32"/>
      <c r="HB6" s="32"/>
      <c r="HC6" s="32"/>
      <c r="HF6" s="32"/>
      <c r="HG6" s="32"/>
      <c r="HH6" s="32"/>
    </row>
    <row r="7" spans="1:256" x14ac:dyDescent="0.2">
      <c r="B7" s="33" t="s">
        <v>118</v>
      </c>
      <c r="C7" s="28"/>
      <c r="D7" s="29"/>
      <c r="E7" s="34">
        <v>11280.15</v>
      </c>
      <c r="F7" s="34">
        <v>9409.6290000000008</v>
      </c>
      <c r="G7" s="34">
        <v>8117.7430000000004</v>
      </c>
      <c r="H7" s="34">
        <v>7772.1149999999998</v>
      </c>
      <c r="I7" s="34"/>
      <c r="J7" s="31"/>
      <c r="K7" s="30"/>
      <c r="L7" s="35">
        <f>15.727+26.476+0.935</f>
        <v>43.138000000000005</v>
      </c>
      <c r="M7" s="35">
        <f>508</f>
        <v>508</v>
      </c>
      <c r="N7" s="28"/>
      <c r="O7" s="29"/>
      <c r="P7" s="35">
        <f>3464.486+21.889</f>
        <v>3486.375</v>
      </c>
      <c r="Q7" s="35">
        <f>3129.985+22.064</f>
        <v>3152.049</v>
      </c>
      <c r="R7" s="35">
        <f>3036.002+2.204</f>
        <v>3038.2060000000001</v>
      </c>
      <c r="S7" s="35">
        <f>3697.515+5.858</f>
        <v>3703.373</v>
      </c>
      <c r="T7" s="35"/>
      <c r="U7" s="31"/>
      <c r="V7" s="30"/>
      <c r="W7" s="35">
        <f>3514.16+10.803</f>
        <v>3524.9629999999997</v>
      </c>
      <c r="X7" s="35">
        <f>2930.887+11.881</f>
        <v>2942.768</v>
      </c>
      <c r="Y7" s="35">
        <f>2596.73+13.345+109.08</f>
        <v>2719.1549999999997</v>
      </c>
      <c r="Z7" s="35">
        <f>2382.141+15.127+114.392</f>
        <v>2511.66</v>
      </c>
      <c r="AA7" s="35"/>
      <c r="AB7" s="31"/>
      <c r="AC7" s="30"/>
      <c r="AD7" s="35">
        <v>3616.136</v>
      </c>
      <c r="AE7" s="35">
        <v>3294.6959999999999</v>
      </c>
      <c r="AF7" s="31"/>
      <c r="AG7" s="30"/>
      <c r="AH7" s="35">
        <v>2423.8760000000002</v>
      </c>
      <c r="AI7" s="35">
        <v>599.19600000000003</v>
      </c>
      <c r="AJ7" s="31"/>
      <c r="AK7" s="30"/>
      <c r="AL7" s="35">
        <f>497.764+44.393+59.301</f>
        <v>601.45800000000008</v>
      </c>
      <c r="AM7" s="35">
        <f>264.752+32.456</f>
        <v>297.20800000000003</v>
      </c>
      <c r="AN7" s="35">
        <f>53.318-26.934</f>
        <v>26.383999999999997</v>
      </c>
      <c r="AO7" s="35"/>
      <c r="AP7" s="31"/>
      <c r="AQ7" s="30"/>
      <c r="AR7" s="35">
        <v>2130.9479999999999</v>
      </c>
      <c r="AS7" s="35">
        <v>1617.9490000000001</v>
      </c>
      <c r="AT7" s="35">
        <f>1282.056+15.676+17.612+0.218</f>
        <v>1315.5620000000001</v>
      </c>
      <c r="AU7" s="35">
        <f>1063.907+12.687</f>
        <v>1076.5939999999998</v>
      </c>
      <c r="AV7" s="35"/>
      <c r="AW7" s="31"/>
      <c r="AX7" s="30"/>
      <c r="AY7" s="35">
        <v>37426</v>
      </c>
      <c r="AZ7" s="35">
        <v>49281</v>
      </c>
      <c r="BA7" s="31"/>
      <c r="BB7" s="30"/>
      <c r="BC7" s="36">
        <v>21491.028999999999</v>
      </c>
      <c r="BD7" s="36">
        <v>19924.321</v>
      </c>
      <c r="BE7" s="31"/>
      <c r="BF7" s="30"/>
      <c r="BG7" s="36">
        <f>46853+4434+3391+1588</f>
        <v>56266</v>
      </c>
      <c r="BH7" s="36">
        <f>31806+3468+9921+1475</f>
        <v>46670</v>
      </c>
      <c r="BI7" s="36">
        <f>17066+2258+5803</f>
        <v>25127</v>
      </c>
      <c r="BJ7" s="36">
        <v>1824</v>
      </c>
      <c r="BK7" s="36"/>
      <c r="BL7" s="31"/>
      <c r="BM7" s="30"/>
      <c r="BN7" s="36">
        <v>6253.4440000000004</v>
      </c>
      <c r="BO7" s="36">
        <v>6011.1980000000003</v>
      </c>
      <c r="BP7" s="36">
        <v>3641.9949999999999</v>
      </c>
      <c r="BQ7" s="36">
        <v>2302.8000000000002</v>
      </c>
      <c r="BR7" s="36"/>
      <c r="BS7" s="31"/>
      <c r="BT7" s="36"/>
      <c r="BU7" s="36">
        <f>706.409+8.176</f>
        <v>714.58500000000004</v>
      </c>
      <c r="BV7" s="36">
        <f>285.246+8.978</f>
        <v>294.22399999999999</v>
      </c>
      <c r="BW7" s="31"/>
      <c r="BX7" s="30"/>
      <c r="BY7" s="35">
        <v>0</v>
      </c>
      <c r="BZ7" s="35">
        <v>0</v>
      </c>
      <c r="CA7" s="37"/>
      <c r="CB7" s="36"/>
      <c r="CC7" s="35">
        <v>9808.6299999999992</v>
      </c>
      <c r="CD7" s="35">
        <v>2071.4870000000001</v>
      </c>
      <c r="CE7" s="35">
        <v>219.82300000000001</v>
      </c>
      <c r="CF7" s="35"/>
      <c r="CG7" s="31"/>
      <c r="CH7" s="30"/>
      <c r="CI7" s="35">
        <f>6132+429</f>
        <v>6561</v>
      </c>
      <c r="CJ7" s="35">
        <f>6777+30</f>
        <v>6807</v>
      </c>
      <c r="CK7" s="31"/>
      <c r="CL7" s="30"/>
      <c r="CM7" s="35">
        <f>1146.696+8.219+0.057</f>
        <v>1154.972</v>
      </c>
      <c r="CN7" s="35">
        <f>1053.574+9.031+0.249</f>
        <v>1062.854</v>
      </c>
      <c r="CO7" s="35"/>
      <c r="CP7" s="35"/>
      <c r="CQ7" s="35"/>
      <c r="CR7" s="31"/>
      <c r="CS7" s="30"/>
      <c r="CT7" s="35">
        <v>449.79</v>
      </c>
      <c r="CU7" s="35">
        <v>333.46100000000001</v>
      </c>
      <c r="CV7" s="31"/>
      <c r="CW7" s="30"/>
      <c r="CX7" s="35">
        <v>1419.174</v>
      </c>
      <c r="CY7" s="35">
        <v>130.18299999999999</v>
      </c>
      <c r="CZ7" s="35"/>
      <c r="DA7" s="35"/>
      <c r="DB7" s="31"/>
      <c r="DC7" s="30"/>
      <c r="DD7" s="35">
        <v>2886.64</v>
      </c>
      <c r="DE7" s="35">
        <v>2883.51</v>
      </c>
      <c r="DF7" s="31" t="s">
        <v>119</v>
      </c>
      <c r="DG7" s="30"/>
      <c r="DH7" s="35">
        <v>13175.323</v>
      </c>
      <c r="DI7" s="35">
        <v>9956.8209999999999</v>
      </c>
      <c r="DJ7" s="35"/>
      <c r="DK7" s="35"/>
      <c r="DL7" s="35"/>
      <c r="DM7" s="31"/>
      <c r="DN7" s="30"/>
      <c r="DO7" s="35">
        <v>35717</v>
      </c>
      <c r="DP7" s="35">
        <v>27451</v>
      </c>
      <c r="DQ7" s="35"/>
      <c r="DR7" s="35"/>
      <c r="DS7" s="35"/>
      <c r="DT7" s="31"/>
      <c r="DU7" s="30"/>
      <c r="DV7" s="35">
        <f>636.734+155.478+32.736</f>
        <v>824.94799999999998</v>
      </c>
      <c r="DW7" s="35">
        <f>874.253+35.182</f>
        <v>909.43500000000006</v>
      </c>
      <c r="DX7" s="31"/>
      <c r="DY7" s="30"/>
      <c r="DZ7" s="35">
        <f>78173-13915</f>
        <v>64258</v>
      </c>
      <c r="EA7" s="35">
        <f>67249-11356</f>
        <v>55893</v>
      </c>
      <c r="EB7" s="31"/>
      <c r="EC7" s="30"/>
      <c r="ED7" s="35">
        <f>17621.548+1340.468</f>
        <v>18962.016</v>
      </c>
      <c r="EE7" s="35">
        <f>13346.298+1481.454</f>
        <v>14827.752</v>
      </c>
      <c r="EF7" s="31"/>
      <c r="EG7" s="30"/>
      <c r="EH7" s="35">
        <v>640.38900000000001</v>
      </c>
      <c r="EI7" s="35">
        <v>569.94200000000001</v>
      </c>
      <c r="EJ7" s="31"/>
      <c r="EK7" s="30"/>
      <c r="EL7" s="35">
        <f>9206+1033</f>
        <v>10239</v>
      </c>
      <c r="EM7" s="35">
        <f>7692+500</f>
        <v>8192</v>
      </c>
      <c r="EN7" s="31"/>
      <c r="EO7" s="30"/>
      <c r="EP7" s="35">
        <f>85.934+3406.126</f>
        <v>3492.0600000000004</v>
      </c>
      <c r="EQ7" s="35">
        <f>15.226+2340.931</f>
        <v>2356.1570000000002</v>
      </c>
      <c r="ET7" s="35">
        <v>4261.4369999999999</v>
      </c>
      <c r="EU7" s="35">
        <v>3543.5479999999998</v>
      </c>
      <c r="EX7" s="35">
        <v>4.6219999999999999</v>
      </c>
      <c r="EY7" s="35"/>
      <c r="FB7" s="35">
        <v>200.096</v>
      </c>
      <c r="FC7" s="35">
        <v>71.287999999999997</v>
      </c>
      <c r="FF7" s="35">
        <v>33964</v>
      </c>
      <c r="FG7" s="35">
        <v>34402</v>
      </c>
      <c r="FJ7" s="35">
        <v>4403.6499999999996</v>
      </c>
      <c r="FK7" s="35">
        <v>2279.71</v>
      </c>
      <c r="FN7" s="35">
        <v>54146.025999999998</v>
      </c>
      <c r="FO7" s="35">
        <v>29054.871999999999</v>
      </c>
      <c r="FR7" s="35">
        <v>8530.0280000000002</v>
      </c>
      <c r="FS7" s="35">
        <v>4328.3559999999998</v>
      </c>
      <c r="FV7" s="35">
        <v>391.89600000000002</v>
      </c>
      <c r="FW7" s="35">
        <v>597.35299999999995</v>
      </c>
      <c r="FZ7" s="35">
        <v>15600</v>
      </c>
      <c r="GA7" s="35">
        <v>15637</v>
      </c>
      <c r="GD7" s="35">
        <v>12.419</v>
      </c>
      <c r="GE7" s="35">
        <v>10.141</v>
      </c>
      <c r="GH7" s="35">
        <f>20997.638+6155.15+30.371+3302.13</f>
        <v>30485.289000000001</v>
      </c>
      <c r="GI7" s="35">
        <f>20210.389+6212.96+1537.951</f>
        <v>27961.3</v>
      </c>
      <c r="GL7" s="35">
        <f>25.848+4695.683</f>
        <v>4721.5309999999999</v>
      </c>
      <c r="GM7" s="35">
        <f>3.803+380.804</f>
        <v>384.60699999999997</v>
      </c>
      <c r="GP7" s="35">
        <v>110863</v>
      </c>
      <c r="GQ7" s="35">
        <v>71867</v>
      </c>
      <c r="GT7" s="35">
        <v>3057</v>
      </c>
      <c r="GU7" s="35"/>
      <c r="GX7" s="35">
        <v>2526.1</v>
      </c>
      <c r="GY7" s="35">
        <v>2120.9470000000001</v>
      </c>
      <c r="HB7" s="35">
        <v>24426.436000000002</v>
      </c>
      <c r="HC7" s="35"/>
      <c r="HF7" s="35">
        <v>29218.901000000002</v>
      </c>
      <c r="HG7" s="35">
        <v>24676.562999999998</v>
      </c>
      <c r="HH7" s="35">
        <v>8297.1550000000007</v>
      </c>
    </row>
    <row r="8" spans="1:256" s="38" customFormat="1" x14ac:dyDescent="0.2">
      <c r="B8" s="39" t="s">
        <v>120</v>
      </c>
      <c r="C8" s="40"/>
      <c r="D8" s="41"/>
      <c r="E8" s="42">
        <v>9517.6890000000003</v>
      </c>
      <c r="F8" s="42">
        <v>7696.3019999999997</v>
      </c>
      <c r="G8" s="42">
        <v>7047.2730000000001</v>
      </c>
      <c r="H8" s="42">
        <v>7426.6180000000004</v>
      </c>
      <c r="I8" s="42"/>
      <c r="J8" s="40"/>
      <c r="K8" s="41"/>
      <c r="L8" s="43">
        <f>0.221</f>
        <v>0.221</v>
      </c>
      <c r="M8" s="43">
        <f>0</f>
        <v>0</v>
      </c>
      <c r="N8" s="40"/>
      <c r="O8" s="41"/>
      <c r="P8" s="43">
        <v>1886.287</v>
      </c>
      <c r="Q8" s="43">
        <v>1655.9639999999999</v>
      </c>
      <c r="R8" s="43">
        <v>1841.229</v>
      </c>
      <c r="S8" s="43">
        <v>2193.2020000000002</v>
      </c>
      <c r="T8" s="43"/>
      <c r="U8" s="40"/>
      <c r="V8" s="41"/>
      <c r="W8" s="43">
        <v>1719.8230000000001</v>
      </c>
      <c r="X8" s="43">
        <v>1537.127</v>
      </c>
      <c r="Y8" s="43">
        <v>1287.825</v>
      </c>
      <c r="Z8" s="43">
        <v>1222.146</v>
      </c>
      <c r="AA8" s="43"/>
      <c r="AB8" s="40"/>
      <c r="AC8" s="41"/>
      <c r="AD8" s="43">
        <v>1689.377</v>
      </c>
      <c r="AE8" s="43">
        <v>1518.0319999999999</v>
      </c>
      <c r="AF8" s="40"/>
      <c r="AG8" s="41"/>
      <c r="AH8" s="43">
        <v>1695.655</v>
      </c>
      <c r="AI8" s="43">
        <v>371.55799999999999</v>
      </c>
      <c r="AJ8" s="40"/>
      <c r="AK8" s="41"/>
      <c r="AL8" s="43">
        <f>319.021+36.8</f>
        <v>355.82100000000003</v>
      </c>
      <c r="AM8" s="43">
        <f>176.005+26.727</f>
        <v>202.732</v>
      </c>
      <c r="AN8" s="43">
        <v>21.847999999999999</v>
      </c>
      <c r="AO8" s="43"/>
      <c r="AP8" s="40"/>
      <c r="AQ8" s="41"/>
      <c r="AR8" s="43">
        <f>779.332+0.224+1.335</f>
        <v>780.89100000000008</v>
      </c>
      <c r="AS8" s="43">
        <f>597.733+1.307+0.336</f>
        <v>599.37599999999998</v>
      </c>
      <c r="AT8" s="43">
        <v>539.46299999999997</v>
      </c>
      <c r="AU8" s="43">
        <v>427.779</v>
      </c>
      <c r="AV8" s="43"/>
      <c r="AW8" s="40"/>
      <c r="AX8" s="41"/>
      <c r="AY8" s="43">
        <v>36251</v>
      </c>
      <c r="AZ8" s="43">
        <v>48232</v>
      </c>
      <c r="BA8" s="40"/>
      <c r="BB8" s="41"/>
      <c r="BC8" s="41">
        <v>8393.4249999999993</v>
      </c>
      <c r="BD8" s="41">
        <v>7810.7179999999998</v>
      </c>
      <c r="BE8" s="40"/>
      <c r="BF8" s="41"/>
      <c r="BG8" s="41">
        <f>37326+883+3564+216</f>
        <v>41989</v>
      </c>
      <c r="BH8" s="41">
        <f>34755+2035+1410+200</f>
        <v>38400</v>
      </c>
      <c r="BI8" s="41">
        <f>7139+117+776+12828+45</f>
        <v>20905</v>
      </c>
      <c r="BJ8" s="41">
        <v>1715</v>
      </c>
      <c r="BK8" s="41"/>
      <c r="BL8" s="40"/>
      <c r="BM8" s="41"/>
      <c r="BN8" s="41">
        <v>1669.7380000000001</v>
      </c>
      <c r="BO8" s="41">
        <v>1124.579</v>
      </c>
      <c r="BP8" s="41">
        <v>524.61900000000003</v>
      </c>
      <c r="BQ8" s="41">
        <v>138.67599999999999</v>
      </c>
      <c r="BR8" s="41"/>
      <c r="BS8" s="40"/>
      <c r="BT8" s="41"/>
      <c r="BU8" s="41">
        <v>399.48</v>
      </c>
      <c r="BV8" s="41">
        <v>224.32499999999999</v>
      </c>
      <c r="BW8" s="40"/>
      <c r="BX8" s="41"/>
      <c r="BY8" s="43">
        <v>2421</v>
      </c>
      <c r="BZ8" s="43">
        <v>2395</v>
      </c>
      <c r="CA8" s="40"/>
      <c r="CB8" s="41"/>
      <c r="CC8" s="43">
        <v>6471.2960000000003</v>
      </c>
      <c r="CD8" s="43">
        <v>1350.991</v>
      </c>
      <c r="CE8" s="43">
        <v>157.137</v>
      </c>
      <c r="CF8" s="43"/>
      <c r="CG8" s="40"/>
      <c r="CH8" s="41"/>
      <c r="CI8" s="43">
        <f>713</f>
        <v>713</v>
      </c>
      <c r="CJ8" s="43">
        <v>563</v>
      </c>
      <c r="CK8" s="40"/>
      <c r="CL8" s="41"/>
      <c r="CM8" s="43">
        <v>364.94499999999999</v>
      </c>
      <c r="CN8" s="43">
        <v>346.84100000000001</v>
      </c>
      <c r="CO8" s="43"/>
      <c r="CP8" s="43"/>
      <c r="CQ8" s="43"/>
      <c r="CR8" s="40"/>
      <c r="CS8" s="41"/>
      <c r="CT8" s="43">
        <v>284.423</v>
      </c>
      <c r="CU8" s="43">
        <v>293.16800000000001</v>
      </c>
      <c r="CV8" s="40"/>
      <c r="CW8" s="41"/>
      <c r="CX8" s="43">
        <v>494.35399999999998</v>
      </c>
      <c r="CY8" s="43">
        <v>37.228999999999999</v>
      </c>
      <c r="CZ8" s="43"/>
      <c r="DA8" s="43"/>
      <c r="DB8" s="44"/>
      <c r="DC8" s="45"/>
      <c r="DD8" s="43">
        <v>1184.1600000000001</v>
      </c>
      <c r="DE8" s="43">
        <v>1178.8679999999999</v>
      </c>
      <c r="DF8" s="44"/>
      <c r="DG8" s="45"/>
      <c r="DH8" s="43">
        <v>7063.4870000000001</v>
      </c>
      <c r="DI8" s="43">
        <v>4963.1180000000004</v>
      </c>
      <c r="DJ8" s="43"/>
      <c r="DK8" s="43"/>
      <c r="DL8" s="43"/>
      <c r="DM8" s="40"/>
      <c r="DN8" s="41"/>
      <c r="DO8" s="43">
        <v>19190</v>
      </c>
      <c r="DP8" s="43">
        <v>13650</v>
      </c>
      <c r="DQ8" s="43"/>
      <c r="DR8" s="43"/>
      <c r="DS8" s="43"/>
      <c r="DT8" s="40"/>
      <c r="DU8" s="41"/>
      <c r="DV8" s="43">
        <f>435.345+10.028</f>
        <v>445.37300000000005</v>
      </c>
      <c r="DW8" s="43">
        <f>397.902+10.001</f>
        <v>407.90299999999996</v>
      </c>
      <c r="DX8" s="40"/>
      <c r="DY8" s="41"/>
      <c r="DZ8" s="43">
        <f>44449+1843</f>
        <v>46292</v>
      </c>
      <c r="EA8" s="43">
        <f>37646+513+29</f>
        <v>38188</v>
      </c>
      <c r="EB8" s="40"/>
      <c r="EC8" s="41"/>
      <c r="ED8" s="43">
        <v>7084.8220000000001</v>
      </c>
      <c r="EE8" s="43">
        <v>5584.7089999999998</v>
      </c>
      <c r="EF8" s="40"/>
      <c r="EG8" s="41"/>
      <c r="EH8" s="43">
        <v>189.36</v>
      </c>
      <c r="EI8" s="43">
        <v>212.32599999999999</v>
      </c>
      <c r="EJ8" s="40"/>
      <c r="EK8" s="41"/>
      <c r="EL8" s="43">
        <v>2949</v>
      </c>
      <c r="EM8" s="43">
        <v>1122</v>
      </c>
      <c r="EN8" s="40"/>
      <c r="EO8" s="41"/>
      <c r="EP8" s="43">
        <v>1981.992</v>
      </c>
      <c r="EQ8" s="43">
        <v>1332.982</v>
      </c>
      <c r="ER8" s="46"/>
      <c r="ES8" s="47"/>
      <c r="ET8" s="43">
        <v>2554.9520000000002</v>
      </c>
      <c r="EU8" s="43">
        <f>1824.492</f>
        <v>1824.492</v>
      </c>
      <c r="EV8" s="46"/>
      <c r="EW8" s="47"/>
      <c r="EX8" s="43">
        <v>0</v>
      </c>
      <c r="EY8" s="43"/>
      <c r="EZ8" s="46"/>
      <c r="FA8" s="47"/>
      <c r="FB8" s="43">
        <v>76.89</v>
      </c>
      <c r="FC8" s="43">
        <v>35.673999999999999</v>
      </c>
      <c r="FD8" s="46"/>
      <c r="FE8" s="47"/>
      <c r="FF8" s="43">
        <v>14415</v>
      </c>
      <c r="FG8" s="43">
        <v>15214</v>
      </c>
      <c r="FH8" s="46"/>
      <c r="FI8" s="47"/>
      <c r="FJ8" s="43">
        <v>2018.69</v>
      </c>
      <c r="FK8" s="43">
        <v>1187.587</v>
      </c>
      <c r="FL8" s="46"/>
      <c r="FM8" s="47"/>
      <c r="FN8" s="43">
        <v>50604.247000000003</v>
      </c>
      <c r="FO8" s="43">
        <v>26444.136999999999</v>
      </c>
      <c r="FP8" s="46"/>
      <c r="FQ8" s="47"/>
      <c r="FR8" s="43">
        <v>2180.4380000000001</v>
      </c>
      <c r="FS8" s="43">
        <v>2008.5540000000001</v>
      </c>
      <c r="FT8" s="46"/>
      <c r="FU8" s="47"/>
      <c r="FV8" s="43">
        <f>250.695</f>
        <v>250.69499999999999</v>
      </c>
      <c r="FW8" s="43">
        <v>334.738</v>
      </c>
      <c r="FX8" s="46"/>
      <c r="FY8" s="47"/>
      <c r="FZ8" s="43">
        <v>7645</v>
      </c>
      <c r="GA8" s="43">
        <v>8124</v>
      </c>
      <c r="GB8" s="46"/>
      <c r="GC8" s="47"/>
      <c r="GD8" s="43">
        <v>31.350999999999999</v>
      </c>
      <c r="GE8" s="43">
        <v>0</v>
      </c>
      <c r="GF8" s="46"/>
      <c r="GG8" s="47"/>
      <c r="GH8" s="43">
        <f>28709.742</f>
        <v>28709.741999999998</v>
      </c>
      <c r="GI8" s="43">
        <v>23930.705000000002</v>
      </c>
      <c r="GJ8" s="46"/>
      <c r="GK8" s="47"/>
      <c r="GL8" s="43">
        <f>22.359+1294.074+738.049</f>
        <v>2054.482</v>
      </c>
      <c r="GM8" s="43">
        <f>25.988+251.761</f>
        <v>277.74900000000002</v>
      </c>
      <c r="GN8" s="46"/>
      <c r="GO8" s="47"/>
      <c r="GP8" s="43">
        <v>63701</v>
      </c>
      <c r="GQ8" s="43">
        <v>19016</v>
      </c>
      <c r="GR8" s="46"/>
      <c r="GS8" s="47"/>
      <c r="GT8" s="43">
        <v>2977</v>
      </c>
      <c r="GU8" s="43"/>
      <c r="GV8" s="46"/>
      <c r="GW8" s="47"/>
      <c r="GX8" s="43">
        <v>1240.6579999999999</v>
      </c>
      <c r="GY8" s="43">
        <v>1009.114</v>
      </c>
      <c r="GZ8" s="46"/>
      <c r="HA8" s="47"/>
      <c r="HB8" s="43">
        <v>22784.547999999999</v>
      </c>
      <c r="HC8" s="43"/>
      <c r="HD8" s="46"/>
      <c r="HE8" s="47"/>
      <c r="HF8" s="43">
        <v>31660.482</v>
      </c>
      <c r="HG8" s="43">
        <v>24355.021000000001</v>
      </c>
      <c r="HH8" s="43">
        <v>8984.06</v>
      </c>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4" customFormat="1" x14ac:dyDescent="0.2">
      <c r="A9" s="6" t="s">
        <v>121</v>
      </c>
      <c r="B9" s="33"/>
      <c r="C9" s="48"/>
      <c r="D9" s="49"/>
      <c r="E9" s="50">
        <f>E7-E8</f>
        <v>1762.4609999999993</v>
      </c>
      <c r="F9" s="50">
        <f>F7-F8</f>
        <v>1713.3270000000011</v>
      </c>
      <c r="G9" s="50">
        <f>G7-G8</f>
        <v>1070.4700000000003</v>
      </c>
      <c r="H9" s="50">
        <f>H7-H8</f>
        <v>345.49699999999939</v>
      </c>
      <c r="I9" s="50"/>
      <c r="J9" s="48"/>
      <c r="K9" s="49"/>
      <c r="L9" s="51">
        <f>L7-L8</f>
        <v>42.917000000000009</v>
      </c>
      <c r="M9" s="51">
        <f>M7-M8</f>
        <v>508</v>
      </c>
      <c r="N9" s="48"/>
      <c r="O9" s="49"/>
      <c r="P9" s="51">
        <f>P7-P8</f>
        <v>1600.088</v>
      </c>
      <c r="Q9" s="51">
        <f>Q7-Q8</f>
        <v>1496.085</v>
      </c>
      <c r="R9" s="51">
        <f>R7-R8</f>
        <v>1196.9770000000001</v>
      </c>
      <c r="S9" s="51">
        <f>S7-S8</f>
        <v>1510.1709999999998</v>
      </c>
      <c r="T9" s="51"/>
      <c r="U9" s="48"/>
      <c r="V9" s="49"/>
      <c r="W9" s="51">
        <f>W7-W8</f>
        <v>1805.1399999999996</v>
      </c>
      <c r="X9" s="51">
        <f>X7-X8</f>
        <v>1405.6410000000001</v>
      </c>
      <c r="Y9" s="51">
        <f>Y7-Y8</f>
        <v>1431.3299999999997</v>
      </c>
      <c r="Z9" s="51">
        <f>Z7-Z8</f>
        <v>1289.5139999999999</v>
      </c>
      <c r="AA9" s="51"/>
      <c r="AB9" s="48"/>
      <c r="AC9" s="49"/>
      <c r="AD9" s="51">
        <f>AD7-AD8</f>
        <v>1926.759</v>
      </c>
      <c r="AE9" s="51">
        <f>AE7-AE8</f>
        <v>1776.664</v>
      </c>
      <c r="AF9" s="48"/>
      <c r="AG9" s="49"/>
      <c r="AH9" s="51">
        <f>AH7-AH8</f>
        <v>728.22100000000023</v>
      </c>
      <c r="AI9" s="51">
        <f>AI7-AI8</f>
        <v>227.63800000000003</v>
      </c>
      <c r="AJ9" s="48"/>
      <c r="AK9" s="49"/>
      <c r="AL9" s="51">
        <f>AL7-AL8</f>
        <v>245.63700000000006</v>
      </c>
      <c r="AM9" s="51">
        <f>AM7-AM8</f>
        <v>94.476000000000028</v>
      </c>
      <c r="AN9" s="51">
        <f>AN7-AN8</f>
        <v>4.5359999999999978</v>
      </c>
      <c r="AO9" s="51"/>
      <c r="AP9" s="48"/>
      <c r="AQ9" s="49"/>
      <c r="AR9" s="51">
        <f>AR7-AR8</f>
        <v>1350.0569999999998</v>
      </c>
      <c r="AS9" s="51">
        <f>AS7-AS8</f>
        <v>1018.5730000000001</v>
      </c>
      <c r="AT9" s="51">
        <f>AT7-AT8</f>
        <v>776.09900000000016</v>
      </c>
      <c r="AU9" s="51">
        <f>AU7-AU8</f>
        <v>648.81499999999983</v>
      </c>
      <c r="AV9" s="51"/>
      <c r="AW9" s="48"/>
      <c r="AX9" s="49"/>
      <c r="AY9" s="51">
        <f>AY7-AY8</f>
        <v>1175</v>
      </c>
      <c r="AZ9" s="51">
        <f>AZ7-AZ8</f>
        <v>1049</v>
      </c>
      <c r="BA9" s="48"/>
      <c r="BB9" s="49"/>
      <c r="BC9" s="29">
        <f>BC7-BC8</f>
        <v>13097.603999999999</v>
      </c>
      <c r="BD9" s="29">
        <f>BD7-BD8</f>
        <v>12113.602999999999</v>
      </c>
      <c r="BE9" s="48"/>
      <c r="BF9" s="49"/>
      <c r="BG9" s="29">
        <f>BG7-BG8</f>
        <v>14277</v>
      </c>
      <c r="BH9" s="29">
        <f>BH7-BH8</f>
        <v>8270</v>
      </c>
      <c r="BI9" s="29">
        <f>BI7-BI8</f>
        <v>4222</v>
      </c>
      <c r="BJ9" s="29">
        <f>BJ7-BJ8</f>
        <v>109</v>
      </c>
      <c r="BK9" s="29"/>
      <c r="BL9" s="48"/>
      <c r="BM9" s="49"/>
      <c r="BN9" s="29">
        <f>BN7-BN8</f>
        <v>4583.7060000000001</v>
      </c>
      <c r="BO9" s="29">
        <f>BO7-BO8</f>
        <v>4886.6190000000006</v>
      </c>
      <c r="BP9" s="29">
        <f>BP7-BP8</f>
        <v>3117.3759999999997</v>
      </c>
      <c r="BQ9" s="29">
        <f>BQ7-BQ8</f>
        <v>2164.1240000000003</v>
      </c>
      <c r="BR9" s="29"/>
      <c r="BS9" s="48"/>
      <c r="BT9" s="29"/>
      <c r="BU9" s="29">
        <f>BU7-BU8</f>
        <v>315.10500000000002</v>
      </c>
      <c r="BV9" s="29">
        <f>BV7-BV8</f>
        <v>69.899000000000001</v>
      </c>
      <c r="BW9" s="48"/>
      <c r="BX9" s="49"/>
      <c r="BY9" s="29">
        <f>BY7-BY8</f>
        <v>-2421</v>
      </c>
      <c r="BZ9" s="29">
        <f>BZ7-BZ8</f>
        <v>-2395</v>
      </c>
      <c r="CA9" s="28"/>
      <c r="CB9" s="29"/>
      <c r="CC9" s="51">
        <f>CC7-CC8</f>
        <v>3337.3339999999989</v>
      </c>
      <c r="CD9" s="51">
        <f>CD7-CD8</f>
        <v>720.49600000000009</v>
      </c>
      <c r="CE9" s="51">
        <f>CE7-CE8</f>
        <v>62.686000000000007</v>
      </c>
      <c r="CF9" s="51"/>
      <c r="CG9" s="48"/>
      <c r="CH9" s="49"/>
      <c r="CI9" s="51">
        <f>CI7-CI8</f>
        <v>5848</v>
      </c>
      <c r="CJ9" s="51">
        <f>CJ7-CJ8</f>
        <v>6244</v>
      </c>
      <c r="CK9" s="48"/>
      <c r="CL9" s="49"/>
      <c r="CM9" s="51">
        <f>CM7-CM8</f>
        <v>790.02700000000004</v>
      </c>
      <c r="CN9" s="51">
        <f>CN7-CN8</f>
        <v>716.01300000000003</v>
      </c>
      <c r="CO9" s="51"/>
      <c r="CP9" s="51"/>
      <c r="CQ9" s="51"/>
      <c r="CR9" s="48"/>
      <c r="CS9" s="49"/>
      <c r="CT9" s="51">
        <f>CT7-CT8</f>
        <v>165.36700000000002</v>
      </c>
      <c r="CU9" s="51">
        <f>CU7-CU8</f>
        <v>40.293000000000006</v>
      </c>
      <c r="CV9" s="48"/>
      <c r="CW9" s="49"/>
      <c r="CX9" s="51">
        <f>CX7-CX8</f>
        <v>924.81999999999994</v>
      </c>
      <c r="CY9" s="51">
        <f>CY7-CY8</f>
        <v>92.953999999999994</v>
      </c>
      <c r="CZ9" s="51"/>
      <c r="DA9" s="51"/>
      <c r="DB9" s="28"/>
      <c r="DC9" s="29"/>
      <c r="DD9" s="51">
        <f>DD7-DD8</f>
        <v>1702.4799999999998</v>
      </c>
      <c r="DE9" s="51">
        <f>DE7-DE8</f>
        <v>1704.6420000000003</v>
      </c>
      <c r="DF9" s="28"/>
      <c r="DG9" s="29"/>
      <c r="DH9" s="51">
        <f>DH7-DH8</f>
        <v>6111.8360000000002</v>
      </c>
      <c r="DI9" s="51">
        <f>DI7-DI8</f>
        <v>4993.7029999999995</v>
      </c>
      <c r="DJ9" s="51"/>
      <c r="DK9" s="51"/>
      <c r="DL9" s="51"/>
      <c r="DM9" s="48"/>
      <c r="DN9" s="49"/>
      <c r="DO9" s="51">
        <f>DO7-DO8</f>
        <v>16527</v>
      </c>
      <c r="DP9" s="51">
        <f>DP7-DP8</f>
        <v>13801</v>
      </c>
      <c r="DQ9" s="51"/>
      <c r="DR9" s="51"/>
      <c r="DS9" s="51"/>
      <c r="DT9" s="48"/>
      <c r="DU9" s="49"/>
      <c r="DV9" s="51">
        <f>DV7-DV8</f>
        <v>379.57499999999993</v>
      </c>
      <c r="DW9" s="51">
        <f>DW7-DW8</f>
        <v>501.5320000000001</v>
      </c>
      <c r="DX9" s="48"/>
      <c r="DY9" s="49"/>
      <c r="DZ9" s="51">
        <f>DZ7-DZ8</f>
        <v>17966</v>
      </c>
      <c r="EA9" s="51">
        <f>EA7-EA8</f>
        <v>17705</v>
      </c>
      <c r="EB9" s="48"/>
      <c r="EC9" s="49"/>
      <c r="ED9" s="51">
        <f>ED7-ED8</f>
        <v>11877.194</v>
      </c>
      <c r="EE9" s="51">
        <f>EE7-EE8</f>
        <v>9243.0430000000015</v>
      </c>
      <c r="EF9" s="48"/>
      <c r="EG9" s="49"/>
      <c r="EH9" s="51">
        <f>EH7-EH8</f>
        <v>451.029</v>
      </c>
      <c r="EI9" s="51">
        <f>EI7-EI8</f>
        <v>357.61599999999999</v>
      </c>
      <c r="EJ9" s="48"/>
      <c r="EK9" s="49"/>
      <c r="EL9" s="51">
        <f>EL7-EL8</f>
        <v>7290</v>
      </c>
      <c r="EM9" s="51">
        <f>EM7-EM8</f>
        <v>7070</v>
      </c>
      <c r="EN9" s="48"/>
      <c r="EO9" s="49"/>
      <c r="EP9" s="51">
        <f>EP7-EP8</f>
        <v>1510.0680000000004</v>
      </c>
      <c r="EQ9" s="51">
        <f>EQ7-EQ8</f>
        <v>1023.1750000000002</v>
      </c>
      <c r="ER9" s="52"/>
      <c r="ES9" s="53"/>
      <c r="ET9" s="51">
        <f>ET7-ET8</f>
        <v>1706.4849999999997</v>
      </c>
      <c r="EU9" s="51">
        <f>EU7-EU8</f>
        <v>1719.0559999999998</v>
      </c>
      <c r="EV9" s="52"/>
      <c r="EW9" s="53"/>
      <c r="EX9" s="51">
        <f>EX7-EX8</f>
        <v>4.6219999999999999</v>
      </c>
      <c r="EY9" s="51"/>
      <c r="EZ9" s="52"/>
      <c r="FA9" s="53"/>
      <c r="FB9" s="51">
        <f>FB7-FB8</f>
        <v>123.206</v>
      </c>
      <c r="FC9" s="51">
        <f>FC7-FC8</f>
        <v>35.613999999999997</v>
      </c>
      <c r="FD9" s="52"/>
      <c r="FE9" s="53"/>
      <c r="FF9" s="51">
        <f>FF7-FF8</f>
        <v>19549</v>
      </c>
      <c r="FG9" s="51">
        <f>FG7-FG8</f>
        <v>19188</v>
      </c>
      <c r="FH9" s="52"/>
      <c r="FI9" s="53"/>
      <c r="FJ9" s="51">
        <f>FJ7-FJ8</f>
        <v>2384.9599999999996</v>
      </c>
      <c r="FK9" s="51">
        <f>FK7-FK8</f>
        <v>1092.123</v>
      </c>
      <c r="FL9" s="52"/>
      <c r="FM9" s="53"/>
      <c r="FN9" s="51">
        <f>FN7-FN8</f>
        <v>3541.778999999995</v>
      </c>
      <c r="FO9" s="51">
        <f>FO7-FO8</f>
        <v>2610.7350000000006</v>
      </c>
      <c r="FP9" s="52"/>
      <c r="FQ9" s="53"/>
      <c r="FR9" s="51">
        <f>FR7-FR8</f>
        <v>6349.59</v>
      </c>
      <c r="FS9" s="51">
        <f>FS7-FS8</f>
        <v>2319.8019999999997</v>
      </c>
      <c r="FT9" s="52"/>
      <c r="FU9" s="53"/>
      <c r="FV9" s="51">
        <f>FV7-FV8</f>
        <v>141.20100000000002</v>
      </c>
      <c r="FW9" s="51">
        <f>FW7-FW8</f>
        <v>262.61499999999995</v>
      </c>
      <c r="FX9" s="52"/>
      <c r="FY9" s="53"/>
      <c r="FZ9" s="51">
        <f>FZ7-FZ8</f>
        <v>7955</v>
      </c>
      <c r="GA9" s="51">
        <f>GA7-GA8</f>
        <v>7513</v>
      </c>
      <c r="GB9" s="52"/>
      <c r="GC9" s="53"/>
      <c r="GD9" s="51">
        <f>GD7-GD8</f>
        <v>-18.931999999999999</v>
      </c>
      <c r="GE9" s="51">
        <f>GE7-GE8</f>
        <v>10.141</v>
      </c>
      <c r="GF9" s="52"/>
      <c r="GG9" s="53"/>
      <c r="GH9" s="51">
        <f>GH7-GH8</f>
        <v>1775.5470000000023</v>
      </c>
      <c r="GI9" s="51">
        <f>GI7-GI8</f>
        <v>4030.5949999999975</v>
      </c>
      <c r="GJ9" s="52"/>
      <c r="GK9" s="53"/>
      <c r="GL9" s="51">
        <f>GL7-GL8</f>
        <v>2667.049</v>
      </c>
      <c r="GM9" s="51">
        <f>GM7-GM8</f>
        <v>106.85799999999995</v>
      </c>
      <c r="GN9" s="52"/>
      <c r="GO9" s="53"/>
      <c r="GP9" s="51">
        <f>GP7-GP8</f>
        <v>47162</v>
      </c>
      <c r="GQ9" s="51">
        <f>GQ7-GQ8</f>
        <v>52851</v>
      </c>
      <c r="GR9" s="52"/>
      <c r="GS9" s="53"/>
      <c r="GT9" s="51">
        <f>GT7-GT8</f>
        <v>80</v>
      </c>
      <c r="GU9" s="51"/>
      <c r="GV9" s="52"/>
      <c r="GW9" s="53"/>
      <c r="GX9" s="51">
        <f>GX7-GX8</f>
        <v>1285.442</v>
      </c>
      <c r="GY9" s="51">
        <f>GY7-GY8</f>
        <v>1111.8330000000001</v>
      </c>
      <c r="GZ9" s="52"/>
      <c r="HA9" s="53"/>
      <c r="HB9" s="51">
        <f>HB7-HB8</f>
        <v>1641.8880000000026</v>
      </c>
      <c r="HC9" s="51"/>
      <c r="HD9" s="52"/>
      <c r="HE9" s="53"/>
      <c r="HF9" s="51">
        <f>HF7-HF8</f>
        <v>-2441.5809999999983</v>
      </c>
      <c r="HG9" s="51">
        <f>HG7-HG8</f>
        <v>321.54199999999764</v>
      </c>
      <c r="HH9" s="51">
        <f>HH7-HH8</f>
        <v>-686.90499999999884</v>
      </c>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54" customFormat="1" ht="6.75" customHeight="1" x14ac:dyDescent="0.2">
      <c r="A10" s="6"/>
      <c r="B10" s="33"/>
      <c r="C10" s="48"/>
      <c r="D10" s="49"/>
      <c r="E10" s="55"/>
      <c r="F10" s="55"/>
      <c r="G10" s="55"/>
      <c r="H10" s="55"/>
      <c r="I10" s="55"/>
      <c r="J10" s="48"/>
      <c r="K10" s="49"/>
      <c r="L10" s="56"/>
      <c r="M10" s="56"/>
      <c r="N10" s="48"/>
      <c r="O10" s="49"/>
      <c r="P10" s="51"/>
      <c r="Q10" s="51"/>
      <c r="R10" s="51"/>
      <c r="S10" s="51"/>
      <c r="T10" s="51"/>
      <c r="U10" s="48"/>
      <c r="V10" s="49"/>
      <c r="W10" s="56"/>
      <c r="X10" s="56"/>
      <c r="Y10" s="56"/>
      <c r="Z10" s="56"/>
      <c r="AA10" s="56"/>
      <c r="AB10" s="48"/>
      <c r="AC10" s="49"/>
      <c r="AD10" s="56"/>
      <c r="AE10" s="56"/>
      <c r="AF10" s="48"/>
      <c r="AG10" s="49"/>
      <c r="AH10" s="56"/>
      <c r="AI10" s="56"/>
      <c r="AJ10" s="48"/>
      <c r="AK10" s="49"/>
      <c r="AL10" s="56"/>
      <c r="AM10" s="56"/>
      <c r="AN10" s="56"/>
      <c r="AO10" s="56"/>
      <c r="AP10" s="48"/>
      <c r="AQ10" s="49"/>
      <c r="AR10" s="56"/>
      <c r="AS10" s="56"/>
      <c r="AT10" s="56"/>
      <c r="AU10" s="56"/>
      <c r="AV10" s="56"/>
      <c r="AW10" s="48"/>
      <c r="AX10" s="49"/>
      <c r="AY10" s="56"/>
      <c r="AZ10" s="56"/>
      <c r="BA10" s="48"/>
      <c r="BB10" s="49"/>
      <c r="BC10" s="29"/>
      <c r="BD10" s="29"/>
      <c r="BE10" s="48"/>
      <c r="BF10" s="49"/>
      <c r="BG10" s="29"/>
      <c r="BH10" s="29"/>
      <c r="BI10" s="29"/>
      <c r="BJ10" s="29"/>
      <c r="BK10" s="29"/>
      <c r="BL10" s="48"/>
      <c r="BM10" s="49"/>
      <c r="BN10" s="29"/>
      <c r="BO10" s="29"/>
      <c r="BP10" s="29"/>
      <c r="BQ10" s="29"/>
      <c r="BR10" s="29"/>
      <c r="BS10" s="48"/>
      <c r="BT10" s="49"/>
      <c r="BU10" s="49"/>
      <c r="BV10" s="49"/>
      <c r="BW10" s="48"/>
      <c r="BX10" s="49"/>
      <c r="BY10" s="56"/>
      <c r="BZ10" s="56"/>
      <c r="CA10" s="48"/>
      <c r="CB10" s="49"/>
      <c r="CC10" s="56"/>
      <c r="CD10" s="56"/>
      <c r="CE10" s="56"/>
      <c r="CF10" s="56"/>
      <c r="CG10" s="48"/>
      <c r="CH10" s="49"/>
      <c r="CI10" s="56"/>
      <c r="CJ10" s="56"/>
      <c r="CK10" s="48"/>
      <c r="CL10" s="49"/>
      <c r="CM10" s="56"/>
      <c r="CN10" s="56"/>
      <c r="CO10" s="56"/>
      <c r="CP10" s="56"/>
      <c r="CQ10" s="56"/>
      <c r="CR10" s="48"/>
      <c r="CS10" s="49"/>
      <c r="CT10" s="56"/>
      <c r="CU10" s="56"/>
      <c r="CV10" s="48"/>
      <c r="CW10" s="49"/>
      <c r="CX10" s="56"/>
      <c r="CY10" s="56"/>
      <c r="CZ10" s="56"/>
      <c r="DA10" s="56"/>
      <c r="DB10" s="28"/>
      <c r="DC10" s="29"/>
      <c r="DD10" s="56"/>
      <c r="DE10" s="56"/>
      <c r="DF10" s="28"/>
      <c r="DG10" s="29"/>
      <c r="DH10" s="56"/>
      <c r="DI10" s="56"/>
      <c r="DJ10" s="56"/>
      <c r="DK10" s="56"/>
      <c r="DL10" s="56"/>
      <c r="DM10" s="48"/>
      <c r="DN10" s="49"/>
      <c r="DO10" s="56"/>
      <c r="DP10" s="56"/>
      <c r="DQ10" s="56"/>
      <c r="DR10" s="56"/>
      <c r="DS10" s="56"/>
      <c r="DT10" s="48"/>
      <c r="DU10" s="49"/>
      <c r="DV10" s="56"/>
      <c r="DW10" s="56"/>
      <c r="DX10" s="48"/>
      <c r="DY10" s="49"/>
      <c r="DZ10" s="56"/>
      <c r="EA10" s="56"/>
      <c r="EB10" s="48"/>
      <c r="EC10" s="49"/>
      <c r="ED10" s="56"/>
      <c r="EE10" s="56"/>
      <c r="EF10" s="48"/>
      <c r="EG10" s="49"/>
      <c r="EH10" s="56"/>
      <c r="EI10" s="56"/>
      <c r="EJ10" s="48"/>
      <c r="EK10" s="49"/>
      <c r="EL10" s="56"/>
      <c r="EM10" s="56"/>
      <c r="EN10" s="48"/>
      <c r="EO10" s="49"/>
      <c r="EP10" s="56"/>
      <c r="EQ10" s="56"/>
      <c r="ER10" s="52"/>
      <c r="ES10" s="53"/>
      <c r="ET10" s="56"/>
      <c r="EU10" s="56"/>
      <c r="EV10" s="52"/>
      <c r="EW10" s="53"/>
      <c r="EX10" s="56"/>
      <c r="EY10" s="56"/>
      <c r="EZ10" s="52"/>
      <c r="FA10" s="53"/>
      <c r="FB10" s="56"/>
      <c r="FC10" s="56"/>
      <c r="FD10" s="52"/>
      <c r="FE10" s="53"/>
      <c r="FF10" s="56"/>
      <c r="FG10" s="56"/>
      <c r="FH10" s="52"/>
      <c r="FI10" s="53"/>
      <c r="FJ10" s="56"/>
      <c r="FK10" s="56"/>
      <c r="FL10" s="52"/>
      <c r="FM10" s="53"/>
      <c r="FN10" s="56"/>
      <c r="FO10" s="56"/>
      <c r="FP10" s="52"/>
      <c r="FQ10" s="53"/>
      <c r="FR10" s="56"/>
      <c r="FS10" s="56"/>
      <c r="FT10" s="52"/>
      <c r="FU10" s="53"/>
      <c r="FV10" s="56"/>
      <c r="FW10" s="56"/>
      <c r="FX10" s="52"/>
      <c r="FY10" s="53"/>
      <c r="FZ10" s="56"/>
      <c r="GA10" s="56"/>
      <c r="GB10" s="52"/>
      <c r="GC10" s="53"/>
      <c r="GD10" s="56"/>
      <c r="GE10" s="56"/>
      <c r="GF10" s="52"/>
      <c r="GG10" s="53"/>
      <c r="GH10" s="56"/>
      <c r="GI10" s="56"/>
      <c r="GJ10" s="52"/>
      <c r="GK10" s="53"/>
      <c r="GL10" s="56"/>
      <c r="GM10" s="56"/>
      <c r="GN10" s="52"/>
      <c r="GO10" s="53"/>
      <c r="GP10" s="56"/>
      <c r="GQ10" s="56"/>
      <c r="GR10" s="52"/>
      <c r="GS10" s="53"/>
      <c r="GT10" s="56"/>
      <c r="GU10" s="56"/>
      <c r="GV10" s="52"/>
      <c r="GW10" s="53"/>
      <c r="GX10" s="56"/>
      <c r="GY10" s="56"/>
      <c r="GZ10" s="52"/>
      <c r="HA10" s="53"/>
      <c r="HB10" s="56"/>
      <c r="HC10" s="56"/>
      <c r="HD10" s="52"/>
      <c r="HE10" s="53"/>
      <c r="HF10" s="56"/>
      <c r="HG10" s="56"/>
      <c r="HH10" s="56"/>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6" customFormat="1" x14ac:dyDescent="0.2">
      <c r="B11" s="33" t="s">
        <v>122</v>
      </c>
      <c r="C11" s="28"/>
      <c r="D11" s="29"/>
      <c r="E11" s="57">
        <v>0.96399999999999997</v>
      </c>
      <c r="F11" s="57">
        <v>1.365</v>
      </c>
      <c r="G11" s="57">
        <v>128.41900000000001</v>
      </c>
      <c r="H11" s="57">
        <v>2.0550000000000002</v>
      </c>
      <c r="I11" s="57"/>
      <c r="J11" s="28"/>
      <c r="K11" s="29"/>
      <c r="L11" s="56">
        <v>0</v>
      </c>
      <c r="M11" s="56">
        <v>0</v>
      </c>
      <c r="N11" s="28"/>
      <c r="O11" s="29"/>
      <c r="P11" s="56">
        <v>24.405999999999999</v>
      </c>
      <c r="Q11" s="56">
        <v>13.696</v>
      </c>
      <c r="R11" s="56">
        <v>27.248999999999999</v>
      </c>
      <c r="S11" s="56">
        <v>11.42</v>
      </c>
      <c r="T11" s="56"/>
      <c r="U11" s="28"/>
      <c r="V11" s="29"/>
      <c r="W11" s="56">
        <v>3.3980000000000001</v>
      </c>
      <c r="X11" s="56">
        <v>3.42</v>
      </c>
      <c r="Y11" s="56">
        <v>4.0289999999999999</v>
      </c>
      <c r="Z11" s="56">
        <v>1</v>
      </c>
      <c r="AA11" s="56"/>
      <c r="AB11" s="28"/>
      <c r="AC11" s="29"/>
      <c r="AD11" s="56">
        <v>89.679000000000002</v>
      </c>
      <c r="AE11" s="56">
        <v>75.177000000000007</v>
      </c>
      <c r="AF11" s="28"/>
      <c r="AG11" s="29"/>
      <c r="AH11" s="56">
        <v>0</v>
      </c>
      <c r="AI11" s="56">
        <v>0</v>
      </c>
      <c r="AJ11" s="28"/>
      <c r="AK11" s="29"/>
      <c r="AL11" s="56">
        <v>0</v>
      </c>
      <c r="AM11" s="56">
        <v>0</v>
      </c>
      <c r="AN11" s="56">
        <v>0</v>
      </c>
      <c r="AO11" s="56"/>
      <c r="AP11" s="28"/>
      <c r="AQ11" s="29"/>
      <c r="AR11" s="56">
        <v>82.087999999999994</v>
      </c>
      <c r="AS11" s="56">
        <v>53.198</v>
      </c>
      <c r="AT11" s="56">
        <v>19.814</v>
      </c>
      <c r="AU11" s="56">
        <v>12.837</v>
      </c>
      <c r="AV11" s="56"/>
      <c r="AW11" s="28"/>
      <c r="AX11" s="29"/>
      <c r="AY11" s="56">
        <v>0</v>
      </c>
      <c r="AZ11" s="56">
        <v>0</v>
      </c>
      <c r="BA11" s="28"/>
      <c r="BB11" s="29"/>
      <c r="BC11" s="49">
        <v>0</v>
      </c>
      <c r="BD11" s="49">
        <v>0</v>
      </c>
      <c r="BE11" s="28"/>
      <c r="BF11" s="29"/>
      <c r="BG11" s="49">
        <v>0</v>
      </c>
      <c r="BH11" s="49">
        <v>0</v>
      </c>
      <c r="BI11" s="49">
        <v>0</v>
      </c>
      <c r="BJ11" s="49">
        <v>0</v>
      </c>
      <c r="BK11" s="49"/>
      <c r="BL11" s="28"/>
      <c r="BM11" s="29"/>
      <c r="BN11" s="49">
        <v>73.78</v>
      </c>
      <c r="BO11" s="49">
        <v>99.338999999999999</v>
      </c>
      <c r="BP11" s="49">
        <v>71.525999999999996</v>
      </c>
      <c r="BQ11" s="49">
        <v>52.320999999999998</v>
      </c>
      <c r="BR11" s="49"/>
      <c r="BS11" s="28"/>
      <c r="BT11" s="49"/>
      <c r="BU11" s="49">
        <v>0</v>
      </c>
      <c r="BV11" s="49">
        <v>0</v>
      </c>
      <c r="BW11" s="28"/>
      <c r="BX11" s="29"/>
      <c r="BY11" s="56">
        <v>0</v>
      </c>
      <c r="BZ11" s="56">
        <v>0</v>
      </c>
      <c r="CA11" s="48"/>
      <c r="CB11" s="49"/>
      <c r="CC11" s="56">
        <v>0</v>
      </c>
      <c r="CD11" s="56">
        <v>0</v>
      </c>
      <c r="CE11" s="56">
        <v>0</v>
      </c>
      <c r="CF11" s="56"/>
      <c r="CG11" s="28"/>
      <c r="CH11" s="29"/>
      <c r="CI11" s="56">
        <v>600</v>
      </c>
      <c r="CJ11" s="56">
        <v>817</v>
      </c>
      <c r="CK11" s="28"/>
      <c r="CL11" s="29"/>
      <c r="CM11" s="56">
        <v>24.238</v>
      </c>
      <c r="CN11" s="56">
        <v>19.312000000000001</v>
      </c>
      <c r="CO11" s="56"/>
      <c r="CP11" s="56"/>
      <c r="CQ11" s="56"/>
      <c r="CR11" s="28"/>
      <c r="CS11" s="29"/>
      <c r="CT11" s="56">
        <v>0</v>
      </c>
      <c r="CU11" s="56">
        <v>0</v>
      </c>
      <c r="CV11" s="28"/>
      <c r="CW11" s="29"/>
      <c r="CX11" s="56">
        <v>0</v>
      </c>
      <c r="CY11" s="56">
        <v>0</v>
      </c>
      <c r="CZ11" s="56"/>
      <c r="DA11" s="56"/>
      <c r="DB11" s="28"/>
      <c r="DC11" s="29"/>
      <c r="DD11" s="56">
        <v>0</v>
      </c>
      <c r="DE11" s="56">
        <v>0</v>
      </c>
      <c r="DF11" s="28"/>
      <c r="DG11" s="29"/>
      <c r="DH11" s="56">
        <v>220.81800000000001</v>
      </c>
      <c r="DI11" s="56">
        <v>39.046999999999997</v>
      </c>
      <c r="DJ11" s="56"/>
      <c r="DK11" s="56"/>
      <c r="DL11" s="56"/>
      <c r="DM11" s="28"/>
      <c r="DN11" s="29"/>
      <c r="DO11" s="56">
        <v>326</v>
      </c>
      <c r="DP11" s="56">
        <v>203</v>
      </c>
      <c r="DQ11" s="56"/>
      <c r="DR11" s="56"/>
      <c r="DS11" s="56"/>
      <c r="DT11" s="28"/>
      <c r="DU11" s="29"/>
      <c r="DV11" s="56">
        <v>0</v>
      </c>
      <c r="DW11" s="56">
        <v>0</v>
      </c>
      <c r="DX11" s="28"/>
      <c r="DY11" s="29"/>
      <c r="DZ11" s="56">
        <v>0</v>
      </c>
      <c r="EA11" s="56">
        <v>0</v>
      </c>
      <c r="EB11" s="28"/>
      <c r="EC11" s="29"/>
      <c r="ED11" s="56">
        <v>0</v>
      </c>
      <c r="EE11" s="56">
        <v>0</v>
      </c>
      <c r="EF11" s="28"/>
      <c r="EG11" s="29"/>
      <c r="EH11" s="56">
        <v>0</v>
      </c>
      <c r="EI11" s="56">
        <v>0</v>
      </c>
      <c r="EJ11" s="28"/>
      <c r="EK11" s="29"/>
      <c r="EL11" s="56">
        <v>183</v>
      </c>
      <c r="EM11" s="56">
        <v>35</v>
      </c>
      <c r="EN11" s="28"/>
      <c r="EO11" s="29"/>
      <c r="EP11" s="56">
        <v>0</v>
      </c>
      <c r="EQ11" s="56">
        <v>0</v>
      </c>
      <c r="ER11" s="7"/>
      <c r="ES11" s="8"/>
      <c r="ET11" s="56">
        <v>0</v>
      </c>
      <c r="EU11" s="56">
        <v>0</v>
      </c>
      <c r="EV11" s="7"/>
      <c r="EW11" s="8"/>
      <c r="EX11" s="56">
        <v>0</v>
      </c>
      <c r="EY11" s="56"/>
      <c r="EZ11" s="7"/>
      <c r="FA11" s="8"/>
      <c r="FB11" s="56">
        <v>0</v>
      </c>
      <c r="FC11" s="56">
        <v>0</v>
      </c>
      <c r="FD11" s="7"/>
      <c r="FE11" s="8"/>
      <c r="FF11" s="56">
        <v>734</v>
      </c>
      <c r="FG11" s="56">
        <v>910</v>
      </c>
      <c r="FH11" s="7"/>
      <c r="FI11" s="8"/>
      <c r="FJ11" s="56">
        <v>0</v>
      </c>
      <c r="FK11" s="56">
        <v>0</v>
      </c>
      <c r="FL11" s="7"/>
      <c r="FM11" s="8"/>
      <c r="FN11" s="56">
        <v>0</v>
      </c>
      <c r="FO11" s="56">
        <v>0</v>
      </c>
      <c r="FP11" s="7"/>
      <c r="FQ11" s="8"/>
      <c r="FR11" s="56">
        <v>0</v>
      </c>
      <c r="FS11" s="56">
        <v>0</v>
      </c>
      <c r="FT11" s="7"/>
      <c r="FU11" s="8"/>
      <c r="FV11" s="56">
        <v>0</v>
      </c>
      <c r="FW11" s="56">
        <v>0</v>
      </c>
      <c r="FX11" s="7"/>
      <c r="FY11" s="8"/>
      <c r="FZ11" s="56">
        <v>0</v>
      </c>
      <c r="GA11" s="56">
        <v>0</v>
      </c>
      <c r="GB11" s="7"/>
      <c r="GC11" s="8"/>
      <c r="GD11" s="56">
        <v>0</v>
      </c>
      <c r="GE11" s="56">
        <v>0</v>
      </c>
      <c r="GF11" s="7"/>
      <c r="GG11" s="8"/>
      <c r="GH11" s="56">
        <v>0</v>
      </c>
      <c r="GI11" s="56">
        <v>0</v>
      </c>
      <c r="GJ11" s="7"/>
      <c r="GK11" s="8"/>
      <c r="GL11" s="56">
        <v>0</v>
      </c>
      <c r="GM11" s="56">
        <v>0</v>
      </c>
      <c r="GN11" s="7"/>
      <c r="GO11" s="8"/>
      <c r="GP11" s="56">
        <v>0</v>
      </c>
      <c r="GQ11" s="56">
        <v>0</v>
      </c>
      <c r="GR11" s="7"/>
      <c r="GS11" s="8"/>
      <c r="GT11" s="56">
        <v>0</v>
      </c>
      <c r="GU11" s="56"/>
      <c r="GV11" s="7"/>
      <c r="GW11" s="8"/>
      <c r="GX11" s="56">
        <v>0</v>
      </c>
      <c r="GY11" s="56">
        <v>0</v>
      </c>
      <c r="GZ11" s="7"/>
      <c r="HA11" s="8"/>
      <c r="HB11" s="56">
        <v>0</v>
      </c>
      <c r="HC11" s="56"/>
      <c r="HD11" s="7"/>
      <c r="HE11" s="8"/>
      <c r="HF11" s="56">
        <v>0</v>
      </c>
      <c r="HG11" s="56">
        <v>0</v>
      </c>
      <c r="HH11" s="56">
        <v>0</v>
      </c>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54" customFormat="1" x14ac:dyDescent="0.2">
      <c r="A12" s="6"/>
      <c r="B12" s="33" t="s">
        <v>123</v>
      </c>
      <c r="C12" s="48"/>
      <c r="D12" s="49"/>
      <c r="E12" s="57">
        <v>319.90600000000001</v>
      </c>
      <c r="F12" s="57">
        <v>311.17599999999999</v>
      </c>
      <c r="G12" s="57">
        <v>189.68</v>
      </c>
      <c r="H12" s="57">
        <v>220.511</v>
      </c>
      <c r="I12" s="57"/>
      <c r="J12" s="48"/>
      <c r="K12" s="49"/>
      <c r="L12" s="56">
        <v>0</v>
      </c>
      <c r="M12" s="56">
        <v>0</v>
      </c>
      <c r="N12" s="48"/>
      <c r="O12" s="49"/>
      <c r="P12" s="56">
        <v>0</v>
      </c>
      <c r="Q12" s="56">
        <v>0</v>
      </c>
      <c r="R12" s="56">
        <v>41.01</v>
      </c>
      <c r="S12" s="56">
        <v>33.137999999999998</v>
      </c>
      <c r="T12" s="56"/>
      <c r="U12" s="48"/>
      <c r="V12" s="49"/>
      <c r="W12" s="56">
        <v>0</v>
      </c>
      <c r="X12" s="56">
        <v>0</v>
      </c>
      <c r="Y12" s="56">
        <v>0</v>
      </c>
      <c r="Z12" s="56">
        <v>0</v>
      </c>
      <c r="AA12" s="56"/>
      <c r="AB12" s="48"/>
      <c r="AC12" s="49"/>
      <c r="AD12" s="56">
        <v>1349.7739999999999</v>
      </c>
      <c r="AE12" s="56">
        <v>1073.2629999999999</v>
      </c>
      <c r="AF12" s="48"/>
      <c r="AG12" s="49"/>
      <c r="AH12" s="56">
        <v>1211.825</v>
      </c>
      <c r="AI12" s="56">
        <v>384.31599999999997</v>
      </c>
      <c r="AJ12" s="48"/>
      <c r="AK12" s="49"/>
      <c r="AL12" s="56">
        <v>0</v>
      </c>
      <c r="AM12" s="56">
        <v>0</v>
      </c>
      <c r="AN12" s="56">
        <v>26.934000000000001</v>
      </c>
      <c r="AO12" s="56"/>
      <c r="AP12" s="48"/>
      <c r="AQ12" s="49"/>
      <c r="AR12" s="56">
        <v>0</v>
      </c>
      <c r="AS12" s="56">
        <v>0</v>
      </c>
      <c r="AT12" s="56">
        <v>0</v>
      </c>
      <c r="AU12" s="56">
        <v>0</v>
      </c>
      <c r="AV12" s="56"/>
      <c r="AW12" s="48"/>
      <c r="AX12" s="49"/>
      <c r="AY12" s="56">
        <v>0</v>
      </c>
      <c r="AZ12" s="56">
        <v>0</v>
      </c>
      <c r="BA12" s="48"/>
      <c r="BB12" s="49"/>
      <c r="BC12" s="49">
        <v>0</v>
      </c>
      <c r="BD12" s="49">
        <v>0</v>
      </c>
      <c r="BE12" s="48"/>
      <c r="BF12" s="49"/>
      <c r="BG12" s="49">
        <f>19510</f>
        <v>19510</v>
      </c>
      <c r="BH12" s="49">
        <v>17606</v>
      </c>
      <c r="BI12" s="49">
        <v>11280</v>
      </c>
      <c r="BJ12" s="49">
        <v>760</v>
      </c>
      <c r="BK12" s="49"/>
      <c r="BL12" s="48"/>
      <c r="BM12" s="49"/>
      <c r="BN12" s="49">
        <v>2421.2640000000001</v>
      </c>
      <c r="BO12" s="49">
        <v>2954.72</v>
      </c>
      <c r="BP12" s="49">
        <v>1156.046</v>
      </c>
      <c r="BQ12" s="49">
        <v>2008.3240000000001</v>
      </c>
      <c r="BR12" s="49"/>
      <c r="BS12" s="48"/>
      <c r="BT12" s="49"/>
      <c r="BU12" s="49">
        <v>54.674999999999997</v>
      </c>
      <c r="BV12" s="49">
        <v>31.35</v>
      </c>
      <c r="BW12" s="48"/>
      <c r="BX12" s="49"/>
      <c r="BY12" s="56">
        <v>0</v>
      </c>
      <c r="BZ12" s="56">
        <v>0</v>
      </c>
      <c r="CA12" s="48"/>
      <c r="CB12" s="49"/>
      <c r="CC12" s="56">
        <v>3012.31</v>
      </c>
      <c r="CD12" s="56">
        <v>2339.703</v>
      </c>
      <c r="CE12" s="56">
        <v>1319.2809999999999</v>
      </c>
      <c r="CF12" s="56"/>
      <c r="CG12" s="48"/>
      <c r="CH12" s="49"/>
      <c r="CI12" s="56">
        <v>459</v>
      </c>
      <c r="CJ12" s="56">
        <v>496</v>
      </c>
      <c r="CK12" s="48"/>
      <c r="CL12" s="49"/>
      <c r="CM12" s="56">
        <v>0</v>
      </c>
      <c r="CN12" s="56">
        <v>0</v>
      </c>
      <c r="CO12" s="56"/>
      <c r="CP12" s="56"/>
      <c r="CQ12" s="56"/>
      <c r="CR12" s="48"/>
      <c r="CS12" s="49"/>
      <c r="CT12" s="56">
        <v>117.69199999999999</v>
      </c>
      <c r="CU12" s="56">
        <v>359.32600000000002</v>
      </c>
      <c r="CV12" s="48"/>
      <c r="CW12" s="49"/>
      <c r="CX12" s="56">
        <v>0</v>
      </c>
      <c r="CY12" s="56">
        <v>0</v>
      </c>
      <c r="CZ12" s="56"/>
      <c r="DA12" s="56"/>
      <c r="DB12" s="28"/>
      <c r="DC12" s="29"/>
      <c r="DD12" s="56">
        <v>0</v>
      </c>
      <c r="DE12" s="56">
        <v>0</v>
      </c>
      <c r="DF12" s="28"/>
      <c r="DG12" s="29"/>
      <c r="DH12" s="56">
        <v>4022.5160000000001</v>
      </c>
      <c r="DI12" s="56">
        <v>3174.49</v>
      </c>
      <c r="DJ12" s="56"/>
      <c r="DK12" s="56"/>
      <c r="DL12" s="56"/>
      <c r="DM12" s="48"/>
      <c r="DN12" s="49"/>
      <c r="DO12" s="56">
        <v>8785</v>
      </c>
      <c r="DP12" s="56">
        <v>8247</v>
      </c>
      <c r="DQ12" s="56"/>
      <c r="DR12" s="56"/>
      <c r="DS12" s="56"/>
      <c r="DT12" s="48"/>
      <c r="DU12" s="49"/>
      <c r="DV12" s="56">
        <v>49.268000000000001</v>
      </c>
      <c r="DW12" s="56">
        <v>88.685000000000002</v>
      </c>
      <c r="DX12" s="48"/>
      <c r="DY12" s="49"/>
      <c r="DZ12" s="56">
        <f>13915</f>
        <v>13915</v>
      </c>
      <c r="EA12" s="56">
        <v>11356</v>
      </c>
      <c r="EB12" s="48"/>
      <c r="EC12" s="49"/>
      <c r="ED12" s="56">
        <v>0</v>
      </c>
      <c r="EE12" s="56">
        <v>0</v>
      </c>
      <c r="EF12" s="48"/>
      <c r="EG12" s="49"/>
      <c r="EH12" s="56">
        <v>0</v>
      </c>
      <c r="EI12" s="56">
        <v>0</v>
      </c>
      <c r="EJ12" s="48"/>
      <c r="EK12" s="49"/>
      <c r="EL12" s="56">
        <f>1024+674+111</f>
        <v>1809</v>
      </c>
      <c r="EM12" s="56">
        <f>760+1015</f>
        <v>1775</v>
      </c>
      <c r="EN12" s="48"/>
      <c r="EO12" s="49"/>
      <c r="EP12" s="56">
        <v>115.995</v>
      </c>
      <c r="EQ12" s="56">
        <v>92.266000000000005</v>
      </c>
      <c r="ER12" s="52"/>
      <c r="ES12" s="53"/>
      <c r="ET12" s="56">
        <v>0</v>
      </c>
      <c r="EU12" s="56">
        <v>0</v>
      </c>
      <c r="EV12" s="52"/>
      <c r="EW12" s="53"/>
      <c r="EX12" s="56">
        <f>1107.648+22.984+10</f>
        <v>1140.6319999999998</v>
      </c>
      <c r="EY12" s="56"/>
      <c r="EZ12" s="52"/>
      <c r="FA12" s="53"/>
      <c r="FB12" s="56">
        <v>55.960999999999999</v>
      </c>
      <c r="FC12" s="56">
        <v>131.89599999999999</v>
      </c>
      <c r="FD12" s="52"/>
      <c r="FE12" s="53"/>
      <c r="FF12" s="56">
        <f>224+1981</f>
        <v>2205</v>
      </c>
      <c r="FG12" s="56">
        <v>4</v>
      </c>
      <c r="FH12" s="52"/>
      <c r="FI12" s="53"/>
      <c r="FJ12" s="56">
        <v>393.31599999999997</v>
      </c>
      <c r="FK12" s="56">
        <v>288.36099999999999</v>
      </c>
      <c r="FL12" s="52"/>
      <c r="FM12" s="53"/>
      <c r="FN12" s="56">
        <v>0</v>
      </c>
      <c r="FO12" s="56">
        <v>0</v>
      </c>
      <c r="FP12" s="52"/>
      <c r="FQ12" s="53"/>
      <c r="FR12" s="56">
        <v>0</v>
      </c>
      <c r="FS12" s="56">
        <v>0</v>
      </c>
      <c r="FT12" s="52"/>
      <c r="FU12" s="53"/>
      <c r="FV12" s="56">
        <v>0</v>
      </c>
      <c r="FW12" s="56">
        <v>0</v>
      </c>
      <c r="FX12" s="52"/>
      <c r="FY12" s="53"/>
      <c r="FZ12" s="56">
        <v>0</v>
      </c>
      <c r="GA12" s="56">
        <v>0</v>
      </c>
      <c r="GB12" s="52"/>
      <c r="GC12" s="53"/>
      <c r="GD12" s="56">
        <v>414.13600000000002</v>
      </c>
      <c r="GE12" s="56">
        <v>562.76199999999994</v>
      </c>
      <c r="GF12" s="52"/>
      <c r="GG12" s="53"/>
      <c r="GH12" s="56">
        <v>0</v>
      </c>
      <c r="GI12" s="56">
        <v>0</v>
      </c>
      <c r="GJ12" s="52"/>
      <c r="GK12" s="53"/>
      <c r="GL12" s="56">
        <f>3277.017+105.976</f>
        <v>3382.9929999999999</v>
      </c>
      <c r="GM12" s="56">
        <f>635.468+2.222</f>
        <v>637.68999999999994</v>
      </c>
      <c r="GN12" s="52"/>
      <c r="GO12" s="53"/>
      <c r="GP12" s="56">
        <v>21417</v>
      </c>
      <c r="GQ12" s="56">
        <v>2831</v>
      </c>
      <c r="GR12" s="52"/>
      <c r="GS12" s="53"/>
      <c r="GT12" s="56">
        <v>0</v>
      </c>
      <c r="GU12" s="56"/>
      <c r="GV12" s="52"/>
      <c r="GW12" s="53"/>
      <c r="GX12" s="56">
        <f>794.75</f>
        <v>794.75</v>
      </c>
      <c r="GY12" s="56">
        <v>276.041</v>
      </c>
      <c r="GZ12" s="52"/>
      <c r="HA12" s="53"/>
      <c r="HB12" s="56">
        <v>0</v>
      </c>
      <c r="HC12" s="56"/>
      <c r="HD12" s="52"/>
      <c r="HE12" s="53"/>
      <c r="HF12" s="56">
        <v>0</v>
      </c>
      <c r="HG12" s="56">
        <v>0</v>
      </c>
      <c r="HH12" s="56">
        <v>0</v>
      </c>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58" customFormat="1" x14ac:dyDescent="0.2">
      <c r="B13" s="59" t="s">
        <v>124</v>
      </c>
      <c r="C13" s="44"/>
      <c r="D13" s="45"/>
      <c r="E13" s="60">
        <f>E14-E11-E12</f>
        <v>2586.5320000000002</v>
      </c>
      <c r="F13" s="60">
        <f>F14-F11-F12</f>
        <v>2478.6490000000003</v>
      </c>
      <c r="G13" s="60">
        <f>G14-G11-G12</f>
        <v>2391.8770000000004</v>
      </c>
      <c r="H13" s="60">
        <f>H14-H11-H12</f>
        <v>2454.0060000000003</v>
      </c>
      <c r="I13" s="60"/>
      <c r="J13" s="44"/>
      <c r="K13" s="45"/>
      <c r="L13" s="61">
        <f>L14-L11-L12</f>
        <v>12.029999999999994</v>
      </c>
      <c r="M13" s="61">
        <f>M14-M11-M12</f>
        <v>104</v>
      </c>
      <c r="N13" s="44"/>
      <c r="O13" s="45"/>
      <c r="P13" s="61">
        <f>P14-P11-P12</f>
        <v>69.14100000000002</v>
      </c>
      <c r="Q13" s="61">
        <f>Q14-Q11-Q12</f>
        <v>214.29499999999999</v>
      </c>
      <c r="R13" s="61">
        <f>R14-R11-R12</f>
        <v>353.04199999999992</v>
      </c>
      <c r="S13" s="61">
        <f>S14-S11-S12</f>
        <v>663.78999999999951</v>
      </c>
      <c r="T13" s="61"/>
      <c r="U13" s="44"/>
      <c r="V13" s="45"/>
      <c r="W13" s="61">
        <f>W14-W11-W12</f>
        <v>67.701000000000164</v>
      </c>
      <c r="X13" s="61">
        <f>X14-X11-X12</f>
        <v>153.24300000000002</v>
      </c>
      <c r="Y13" s="61">
        <f>Y14-Y11-Y12</f>
        <v>12.242000000000001</v>
      </c>
      <c r="Z13" s="61">
        <f>Z14-Z11-Z12</f>
        <v>16.402000000000001</v>
      </c>
      <c r="AA13" s="60"/>
      <c r="AB13" s="44"/>
      <c r="AC13" s="45"/>
      <c r="AD13" s="61">
        <f>AD14-AD11-AD12</f>
        <v>1038.6819999999998</v>
      </c>
      <c r="AE13" s="61">
        <f>AE14-AE11-AE12</f>
        <v>913.29600000000005</v>
      </c>
      <c r="AF13" s="44"/>
      <c r="AG13" s="45"/>
      <c r="AH13" s="60">
        <f>AH14-AH11-AH12</f>
        <v>74.906999999999925</v>
      </c>
      <c r="AI13" s="61">
        <f>AI14-AI11-AI12</f>
        <v>0</v>
      </c>
      <c r="AJ13" s="44"/>
      <c r="AK13" s="45"/>
      <c r="AL13" s="60">
        <f>AL14-AL11-AL12</f>
        <v>442.22299999999996</v>
      </c>
      <c r="AM13" s="60">
        <f>AM14-AM11-AM12</f>
        <v>359.483</v>
      </c>
      <c r="AN13" s="60">
        <f>AN14-AN11-AN12</f>
        <v>0</v>
      </c>
      <c r="AO13" s="60"/>
      <c r="AP13" s="44"/>
      <c r="AQ13" s="45"/>
      <c r="AR13" s="61">
        <f>AR14-AR11-AR12</f>
        <v>202.52799999999999</v>
      </c>
      <c r="AS13" s="61">
        <f>AS14-AS11-AS12</f>
        <v>115.77499999999995</v>
      </c>
      <c r="AT13" s="61">
        <f>AT14-AT11-AT12</f>
        <v>75.125999999999834</v>
      </c>
      <c r="AU13" s="61">
        <f>AU14-AU11-AU12</f>
        <v>89.700000000000259</v>
      </c>
      <c r="AV13" s="61"/>
      <c r="AW13" s="44"/>
      <c r="AX13" s="45"/>
      <c r="AY13" s="60">
        <f>AY14-AY11-AY12</f>
        <v>0</v>
      </c>
      <c r="AZ13" s="61">
        <f>AZ14-AZ11-AZ12</f>
        <v>0</v>
      </c>
      <c r="BA13" s="44"/>
      <c r="BB13" s="45"/>
      <c r="BC13" s="45">
        <v>0</v>
      </c>
      <c r="BD13" s="45">
        <v>0</v>
      </c>
      <c r="BE13" s="44"/>
      <c r="BF13" s="45"/>
      <c r="BG13" s="45">
        <f>BG14-BG11-BG12</f>
        <v>9422</v>
      </c>
      <c r="BH13" s="45">
        <f>BH14-BH11-BH12</f>
        <v>23228</v>
      </c>
      <c r="BI13" s="45">
        <f>BI14-BI11-BI12</f>
        <v>327</v>
      </c>
      <c r="BJ13" s="45">
        <v>0</v>
      </c>
      <c r="BK13" s="45"/>
      <c r="BL13" s="44"/>
      <c r="BM13" s="45"/>
      <c r="BN13" s="45">
        <f>BN14-BN11-BN12</f>
        <v>75.596999999999753</v>
      </c>
      <c r="BO13" s="45">
        <f>BO14-BO11-BO12</f>
        <v>56.582000000000335</v>
      </c>
      <c r="BP13" s="45">
        <f>BP14-BP11-BP12</f>
        <v>0</v>
      </c>
      <c r="BQ13" s="45">
        <f>BQ14-BQ11-BQ12</f>
        <v>0</v>
      </c>
      <c r="BR13" s="45"/>
      <c r="BS13" s="44"/>
      <c r="BT13" s="62"/>
      <c r="BU13" s="62">
        <f>BU14-BU11-BU12</f>
        <v>0</v>
      </c>
      <c r="BV13" s="62">
        <f>BV14-BV11-BV12</f>
        <v>0</v>
      </c>
      <c r="BW13" s="44"/>
      <c r="BX13" s="45"/>
      <c r="BY13" s="61">
        <v>7642</v>
      </c>
      <c r="BZ13" s="61">
        <v>6896</v>
      </c>
      <c r="CA13" s="44"/>
      <c r="CB13" s="45"/>
      <c r="CC13" s="60">
        <f>CC14-CC11-CC12</f>
        <v>0</v>
      </c>
      <c r="CD13" s="60">
        <f>CD14-CD11-CD12</f>
        <v>0</v>
      </c>
      <c r="CE13" s="60">
        <f>CE14-CE11-CE12</f>
        <v>0</v>
      </c>
      <c r="CF13" s="60"/>
      <c r="CG13" s="44"/>
      <c r="CH13" s="45"/>
      <c r="CI13" s="61">
        <f>CI14-CI11-CI12</f>
        <v>626</v>
      </c>
      <c r="CJ13" s="61">
        <f>CJ14-CJ11-CJ12</f>
        <v>16</v>
      </c>
      <c r="CK13" s="44"/>
      <c r="CL13" s="45"/>
      <c r="CM13" s="61">
        <f>CM14-CM11-CM12</f>
        <v>1.0000000000331966E-3</v>
      </c>
      <c r="CN13" s="61">
        <f>CN14-CN11-CN12</f>
        <v>9.9999999987332444E-4</v>
      </c>
      <c r="CO13" s="61"/>
      <c r="CP13" s="61"/>
      <c r="CQ13" s="61"/>
      <c r="CR13" s="44"/>
      <c r="CS13" s="45"/>
      <c r="CT13" s="61">
        <f>CT14-CT11-CT12</f>
        <v>59.999999999999957</v>
      </c>
      <c r="CU13" s="61">
        <f>CU14-CU11-CU12</f>
        <v>0</v>
      </c>
      <c r="CV13" s="44"/>
      <c r="CW13" s="45"/>
      <c r="CX13" s="61">
        <f>CX14-CX11-CX12</f>
        <v>74.511999999999944</v>
      </c>
      <c r="CY13" s="61">
        <f>CY14-CY11-CY12</f>
        <v>192.334</v>
      </c>
      <c r="CZ13" s="61"/>
      <c r="DA13" s="61"/>
      <c r="DB13" s="44"/>
      <c r="DC13" s="45"/>
      <c r="DD13" s="61">
        <f>DD14-DD11-DD12</f>
        <v>136.34700000000001</v>
      </c>
      <c r="DE13" s="61">
        <f>DE14-DE11-DE12</f>
        <v>151.874</v>
      </c>
      <c r="DF13" s="44"/>
      <c r="DG13" s="45"/>
      <c r="DH13" s="61">
        <f>DH14-DH11-DH12</f>
        <v>14010.126</v>
      </c>
      <c r="DI13" s="61">
        <f>DI14-DI11-DI12</f>
        <v>9961.5229999999992</v>
      </c>
      <c r="DJ13" s="61"/>
      <c r="DK13" s="61"/>
      <c r="DL13" s="61"/>
      <c r="DM13" s="44"/>
      <c r="DN13" s="45"/>
      <c r="DO13" s="61">
        <f>DO14-DO11-DO12</f>
        <v>596</v>
      </c>
      <c r="DP13" s="61">
        <f>DP14-DP11-DP12</f>
        <v>770</v>
      </c>
      <c r="DQ13" s="61"/>
      <c r="DR13" s="61"/>
      <c r="DS13" s="61"/>
      <c r="DT13" s="44"/>
      <c r="DU13" s="45"/>
      <c r="DV13" s="61">
        <f>DV14-DV11-DV12</f>
        <v>164.17099999999996</v>
      </c>
      <c r="DW13" s="61">
        <f>DW14-DW11-DW12</f>
        <v>146.12299999999988</v>
      </c>
      <c r="DX13" s="44"/>
      <c r="DY13" s="45"/>
      <c r="DZ13" s="61">
        <f>DZ14-DZ11-DZ12</f>
        <v>7094</v>
      </c>
      <c r="EA13" s="61">
        <f>EA14-EA11-EA12</f>
        <v>7974</v>
      </c>
      <c r="EB13" s="44"/>
      <c r="EC13" s="45"/>
      <c r="ED13" s="61">
        <f>ED14-ED11-ED12</f>
        <v>306.02800000000002</v>
      </c>
      <c r="EE13" s="61">
        <f>EE14-EE11-EE12</f>
        <v>195.553</v>
      </c>
      <c r="EF13" s="44"/>
      <c r="EG13" s="45"/>
      <c r="EH13" s="61">
        <f>EH14-EH11-EH12</f>
        <v>68.711000000000013</v>
      </c>
      <c r="EI13" s="61">
        <f>EI14-EI11-EI12</f>
        <v>20.960000000000036</v>
      </c>
      <c r="EJ13" s="44"/>
      <c r="EK13" s="45"/>
      <c r="EL13" s="61">
        <f>EL14-EL11-EL12</f>
        <v>115</v>
      </c>
      <c r="EM13" s="61">
        <f>EM14-EM11-EM12</f>
        <v>596</v>
      </c>
      <c r="EN13" s="44"/>
      <c r="EO13" s="45"/>
      <c r="EP13" s="61">
        <f>EP14-EP11-EP12</f>
        <v>35.388999999999555</v>
      </c>
      <c r="EQ13" s="61">
        <f>EQ14-EQ11-EQ12</f>
        <v>37.795999999999893</v>
      </c>
      <c r="ER13" s="63"/>
      <c r="ES13" s="64"/>
      <c r="ET13" s="61">
        <f>ET14-ET11-ET12</f>
        <v>425.64400000000001</v>
      </c>
      <c r="EU13" s="61">
        <f>EU14-EU11-EU12</f>
        <v>263.86599999999999</v>
      </c>
      <c r="EV13" s="63"/>
      <c r="EW13" s="64"/>
      <c r="EX13" s="61">
        <f>EX14-EX11-EX12</f>
        <v>37.603000000000065</v>
      </c>
      <c r="EY13" s="61"/>
      <c r="EZ13" s="63"/>
      <c r="FA13" s="64"/>
      <c r="FB13" s="61">
        <v>0</v>
      </c>
      <c r="FC13" s="61">
        <v>0</v>
      </c>
      <c r="FD13" s="63"/>
      <c r="FE13" s="64"/>
      <c r="FF13" s="61">
        <f>FF14-FF11-FF12</f>
        <v>2394</v>
      </c>
      <c r="FG13" s="61">
        <f>FG14-FG11-FG12</f>
        <v>4451</v>
      </c>
      <c r="FH13" s="63"/>
      <c r="FI13" s="64"/>
      <c r="FJ13" s="61">
        <f>FJ14-FJ11-FJ12</f>
        <v>315.36500000000052</v>
      </c>
      <c r="FK13" s="61">
        <f>FK14-FK11-FK12</f>
        <v>402.58400000000017</v>
      </c>
      <c r="FL13" s="63"/>
      <c r="FM13" s="64"/>
      <c r="FN13" s="61">
        <v>0</v>
      </c>
      <c r="FO13" s="61"/>
      <c r="FP13" s="63"/>
      <c r="FQ13" s="64"/>
      <c r="FR13" s="61">
        <v>0</v>
      </c>
      <c r="FS13" s="61">
        <v>0</v>
      </c>
      <c r="FT13" s="63"/>
      <c r="FU13" s="64"/>
      <c r="FV13" s="61">
        <f>FV14-FV11-FV12</f>
        <v>2626.2979999999998</v>
      </c>
      <c r="FW13" s="61">
        <f>FW14-FW11-FW12</f>
        <v>1666.279</v>
      </c>
      <c r="FX13" s="63"/>
      <c r="FY13" s="64"/>
      <c r="FZ13" s="61">
        <f>FZ14-FZ11-FZ12</f>
        <v>809</v>
      </c>
      <c r="GA13" s="61">
        <f>GA14-GA11-GA12</f>
        <v>757</v>
      </c>
      <c r="GB13" s="63"/>
      <c r="GC13" s="64"/>
      <c r="GD13" s="61">
        <f>GD14-GD11-GD12</f>
        <v>334.89000000000004</v>
      </c>
      <c r="GE13" s="61">
        <f>GE14-GE11-GE12</f>
        <v>147.33200000000011</v>
      </c>
      <c r="GF13" s="63"/>
      <c r="GG13" s="64"/>
      <c r="GH13" s="61">
        <f>GH14-GH11-GH12</f>
        <v>18558.657999999999</v>
      </c>
      <c r="GI13" s="61">
        <f>GI14-GI11-GI12</f>
        <v>17337.848999999998</v>
      </c>
      <c r="GJ13" s="63"/>
      <c r="GK13" s="64"/>
      <c r="GL13" s="61">
        <f>GL14-GL11-GL12</f>
        <v>3334.8749999999995</v>
      </c>
      <c r="GM13" s="61">
        <f>GM14-GM11-GM12</f>
        <v>280.18100000000015</v>
      </c>
      <c r="GN13" s="63"/>
      <c r="GO13" s="64"/>
      <c r="GP13" s="61">
        <f>GP14-GP11-GP12</f>
        <v>-55611</v>
      </c>
      <c r="GQ13" s="61">
        <f>GQ14-GQ11-GQ12</f>
        <v>1242</v>
      </c>
      <c r="GR13" s="63"/>
      <c r="GS13" s="64"/>
      <c r="GT13" s="61">
        <v>0</v>
      </c>
      <c r="GU13" s="61"/>
      <c r="GV13" s="63"/>
      <c r="GW13" s="64"/>
      <c r="GX13" s="61">
        <f>GX14-GX11-GX12</f>
        <v>0</v>
      </c>
      <c r="GY13" s="61">
        <f>GY14-GY11-GY12</f>
        <v>0</v>
      </c>
      <c r="GZ13" s="63"/>
      <c r="HA13" s="64"/>
      <c r="HB13" s="61">
        <v>0</v>
      </c>
      <c r="HC13" s="61"/>
      <c r="HD13" s="63"/>
      <c r="HE13" s="64"/>
      <c r="HF13" s="61">
        <f>HF14-HF11-HF12</f>
        <v>2786.8710000000001</v>
      </c>
      <c r="HG13" s="61">
        <v>0</v>
      </c>
      <c r="HH13" s="61">
        <v>763.67399999999998</v>
      </c>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6" customFormat="1" x14ac:dyDescent="0.2">
      <c r="A14" s="6" t="s">
        <v>125</v>
      </c>
      <c r="B14" s="65"/>
      <c r="C14" s="28"/>
      <c r="D14" s="29"/>
      <c r="E14" s="57">
        <f>761.918+2145.484</f>
        <v>2907.402</v>
      </c>
      <c r="F14" s="57">
        <f>764.76+2026.43</f>
        <v>2791.19</v>
      </c>
      <c r="G14" s="57">
        <f>1959.063+750.913</f>
        <v>2709.9760000000001</v>
      </c>
      <c r="H14" s="57">
        <f>2160.606+515.966</f>
        <v>2676.5720000000001</v>
      </c>
      <c r="I14" s="57"/>
      <c r="J14" s="28"/>
      <c r="K14" s="29"/>
      <c r="L14" s="56">
        <f>55.168-L7</f>
        <v>12.029999999999994</v>
      </c>
      <c r="M14" s="56">
        <f>612-M7</f>
        <v>104</v>
      </c>
      <c r="N14" s="28"/>
      <c r="O14" s="29"/>
      <c r="P14" s="56">
        <f>3579.922-P7</f>
        <v>93.547000000000025</v>
      </c>
      <c r="Q14" s="56">
        <f>3380.04-Q7</f>
        <v>227.99099999999999</v>
      </c>
      <c r="R14" s="56">
        <f>3459.507-R7</f>
        <v>421.30099999999993</v>
      </c>
      <c r="S14" s="56">
        <f>4411.721-S7</f>
        <v>708.3479999999995</v>
      </c>
      <c r="T14" s="56"/>
      <c r="U14" s="28"/>
      <c r="V14" s="29"/>
      <c r="W14" s="56">
        <f>3596.062-W7</f>
        <v>71.09900000000016</v>
      </c>
      <c r="X14" s="56">
        <f>3099.431-X7</f>
        <v>156.66300000000001</v>
      </c>
      <c r="Y14" s="56">
        <f>12.242+4.029</f>
        <v>16.271000000000001</v>
      </c>
      <c r="Z14" s="56">
        <f>16.402+1</f>
        <v>17.402000000000001</v>
      </c>
      <c r="AA14" s="56"/>
      <c r="AB14" s="28"/>
      <c r="AC14" s="29"/>
      <c r="AD14" s="56">
        <f>6094.271-AD7</f>
        <v>2478.1349999999998</v>
      </c>
      <c r="AE14" s="56">
        <f>5356.432-AE7</f>
        <v>2061.7359999999999</v>
      </c>
      <c r="AF14" s="28"/>
      <c r="AG14" s="29"/>
      <c r="AH14" s="56">
        <f>3710.608-AH7</f>
        <v>1286.732</v>
      </c>
      <c r="AI14" s="56">
        <f>983.512-AI7</f>
        <v>384.31599999999992</v>
      </c>
      <c r="AJ14" s="28"/>
      <c r="AK14" s="29"/>
      <c r="AL14" s="56">
        <f>1043.681-AL7</f>
        <v>442.22299999999996</v>
      </c>
      <c r="AM14" s="56">
        <f>656.691-AM7</f>
        <v>359.483</v>
      </c>
      <c r="AN14" s="56">
        <v>26.934000000000001</v>
      </c>
      <c r="AO14" s="56"/>
      <c r="AP14" s="28"/>
      <c r="AQ14" s="29"/>
      <c r="AR14" s="56">
        <f>2415.564-AR7</f>
        <v>284.61599999999999</v>
      </c>
      <c r="AS14" s="56">
        <f>1786.922-AS7</f>
        <v>168.97299999999996</v>
      </c>
      <c r="AT14" s="56">
        <f>1410.502-AT7</f>
        <v>94.939999999999827</v>
      </c>
      <c r="AU14" s="56">
        <f>1179.131-AU7</f>
        <v>102.53700000000026</v>
      </c>
      <c r="AV14" s="56"/>
      <c r="AW14" s="28"/>
      <c r="AX14" s="29"/>
      <c r="AY14" s="56">
        <v>0</v>
      </c>
      <c r="AZ14" s="56">
        <v>0</v>
      </c>
      <c r="BA14" s="28"/>
      <c r="BB14" s="29"/>
      <c r="BC14" s="49">
        <v>0</v>
      </c>
      <c r="BD14" s="49">
        <v>0</v>
      </c>
      <c r="BE14" s="28"/>
      <c r="BF14" s="29"/>
      <c r="BG14" s="49">
        <f>85198-BG7</f>
        <v>28932</v>
      </c>
      <c r="BH14" s="49">
        <f>87504-BH7</f>
        <v>40834</v>
      </c>
      <c r="BI14" s="49">
        <f>36734-BI7</f>
        <v>11607</v>
      </c>
      <c r="BJ14" s="49">
        <f>BJ12</f>
        <v>760</v>
      </c>
      <c r="BK14" s="49"/>
      <c r="BL14" s="28"/>
      <c r="BM14" s="29"/>
      <c r="BN14" s="49">
        <v>2570.6410000000001</v>
      </c>
      <c r="BO14" s="49">
        <v>3110.6410000000001</v>
      </c>
      <c r="BP14" s="49">
        <v>1227.5719999999999</v>
      </c>
      <c r="BQ14" s="49">
        <v>2060.645</v>
      </c>
      <c r="BR14" s="49"/>
      <c r="BS14" s="28"/>
      <c r="BT14" s="49"/>
      <c r="BU14" s="49">
        <v>54.674999999999997</v>
      </c>
      <c r="BV14" s="49">
        <v>31.35</v>
      </c>
      <c r="BW14" s="28"/>
      <c r="BX14" s="29"/>
      <c r="BY14" s="56">
        <f>SUM(BY11:BY13)</f>
        <v>7642</v>
      </c>
      <c r="BZ14" s="56">
        <f>SUM(BZ11:BZ13)</f>
        <v>6896</v>
      </c>
      <c r="CA14" s="48"/>
      <c r="CB14" s="49"/>
      <c r="CC14" s="56">
        <f>12820.94-CC7</f>
        <v>3012.3100000000013</v>
      </c>
      <c r="CD14" s="56">
        <f>4411.19-CD7</f>
        <v>2339.7029999999995</v>
      </c>
      <c r="CE14" s="56">
        <f>CE12</f>
        <v>1319.2809999999999</v>
      </c>
      <c r="CF14" s="56"/>
      <c r="CG14" s="28"/>
      <c r="CH14" s="29"/>
      <c r="CI14" s="56">
        <f>8246-CI7</f>
        <v>1685</v>
      </c>
      <c r="CJ14" s="66">
        <f>8136-CJ7</f>
        <v>1329</v>
      </c>
      <c r="CK14" s="28"/>
      <c r="CL14" s="29"/>
      <c r="CM14" s="56">
        <f>1179.211-CM7</f>
        <v>24.239000000000033</v>
      </c>
      <c r="CN14" s="66">
        <f>1082.167-CN7</f>
        <v>19.312999999999874</v>
      </c>
      <c r="CO14" s="66"/>
      <c r="CP14" s="66"/>
      <c r="CQ14" s="66"/>
      <c r="CR14" s="28"/>
      <c r="CS14" s="29"/>
      <c r="CT14" s="56">
        <f>627.482-CT7</f>
        <v>177.69199999999995</v>
      </c>
      <c r="CU14" s="56">
        <f>692.787-CU7</f>
        <v>359.32600000000002</v>
      </c>
      <c r="CV14" s="28"/>
      <c r="CW14" s="29"/>
      <c r="CX14" s="56">
        <f>1493.686-CX7</f>
        <v>74.511999999999944</v>
      </c>
      <c r="CY14" s="56">
        <f>322.517-CY7</f>
        <v>192.334</v>
      </c>
      <c r="CZ14" s="56"/>
      <c r="DA14" s="56"/>
      <c r="DB14" s="28"/>
      <c r="DC14" s="29"/>
      <c r="DD14" s="56">
        <v>136.34700000000001</v>
      </c>
      <c r="DE14" s="56">
        <v>151.874</v>
      </c>
      <c r="DF14" s="28"/>
      <c r="DG14" s="29"/>
      <c r="DH14" s="56">
        <v>18253.46</v>
      </c>
      <c r="DI14" s="56">
        <v>13175.06</v>
      </c>
      <c r="DJ14" s="56"/>
      <c r="DK14" s="56"/>
      <c r="DL14" s="56"/>
      <c r="DM14" s="28"/>
      <c r="DN14" s="29"/>
      <c r="DO14" s="56">
        <v>9707</v>
      </c>
      <c r="DP14" s="56">
        <v>9220</v>
      </c>
      <c r="DQ14" s="56"/>
      <c r="DR14" s="56"/>
      <c r="DS14" s="56"/>
      <c r="DT14" s="28"/>
      <c r="DU14" s="29"/>
      <c r="DV14" s="56">
        <f>1038.387-DV7</f>
        <v>213.43899999999996</v>
      </c>
      <c r="DW14" s="56">
        <f>1144.243-DW7</f>
        <v>234.80799999999988</v>
      </c>
      <c r="DX14" s="28"/>
      <c r="DY14" s="29"/>
      <c r="DZ14" s="56">
        <f>85267-DZ7</f>
        <v>21009</v>
      </c>
      <c r="EA14" s="56">
        <f>75223-EA7</f>
        <v>19330</v>
      </c>
      <c r="EB14" s="28"/>
      <c r="EC14" s="29"/>
      <c r="ED14" s="56">
        <v>306.02800000000002</v>
      </c>
      <c r="EE14" s="56">
        <v>195.553</v>
      </c>
      <c r="EF14" s="28"/>
      <c r="EG14" s="29"/>
      <c r="EH14" s="56">
        <f>709.1-EH7</f>
        <v>68.711000000000013</v>
      </c>
      <c r="EI14" s="56">
        <f>590.902-EI7</f>
        <v>20.960000000000036</v>
      </c>
      <c r="EJ14" s="28"/>
      <c r="EK14" s="29"/>
      <c r="EL14" s="56">
        <f>12346-EL7</f>
        <v>2107</v>
      </c>
      <c r="EM14" s="56">
        <f>10598-EM7</f>
        <v>2406</v>
      </c>
      <c r="EN14" s="28"/>
      <c r="EO14" s="29"/>
      <c r="EP14" s="56">
        <f>3643.444-EP7</f>
        <v>151.38399999999956</v>
      </c>
      <c r="EQ14" s="56">
        <f>2486.219-EQ7</f>
        <v>130.0619999999999</v>
      </c>
      <c r="ER14" s="7"/>
      <c r="ES14" s="8"/>
      <c r="ET14" s="56">
        <v>425.64400000000001</v>
      </c>
      <c r="EU14" s="56">
        <v>263.86599999999999</v>
      </c>
      <c r="EV14" s="7"/>
      <c r="EW14" s="8"/>
      <c r="EX14" s="56">
        <f>1182.857-EX7</f>
        <v>1178.2349999999999</v>
      </c>
      <c r="EY14" s="56"/>
      <c r="EZ14" s="7"/>
      <c r="FA14" s="8"/>
      <c r="FB14" s="56">
        <f>FB12</f>
        <v>55.960999999999999</v>
      </c>
      <c r="FC14" s="56">
        <f>FC12</f>
        <v>131.89599999999999</v>
      </c>
      <c r="FD14" s="7"/>
      <c r="FE14" s="8"/>
      <c r="FF14" s="56">
        <f>5333</f>
        <v>5333</v>
      </c>
      <c r="FG14" s="56">
        <f>5365</f>
        <v>5365</v>
      </c>
      <c r="FH14" s="7"/>
      <c r="FI14" s="8"/>
      <c r="FJ14" s="56">
        <f>5112.331-FJ7</f>
        <v>708.68100000000049</v>
      </c>
      <c r="FK14" s="56">
        <f>2970.655-FK7</f>
        <v>690.94500000000016</v>
      </c>
      <c r="FL14" s="7"/>
      <c r="FM14" s="8"/>
      <c r="FN14" s="56">
        <v>0</v>
      </c>
      <c r="FO14" s="56">
        <v>0</v>
      </c>
      <c r="FP14" s="7"/>
      <c r="FQ14" s="8"/>
      <c r="FR14" s="56">
        <v>0</v>
      </c>
      <c r="FS14" s="56">
        <v>0</v>
      </c>
      <c r="FT14" s="7"/>
      <c r="FU14" s="8"/>
      <c r="FV14" s="56">
        <f>3018.194-FV7</f>
        <v>2626.2979999999998</v>
      </c>
      <c r="FW14" s="56">
        <f>2263.632-FW7</f>
        <v>1666.279</v>
      </c>
      <c r="FX14" s="7"/>
      <c r="FY14" s="8"/>
      <c r="FZ14" s="56">
        <v>809</v>
      </c>
      <c r="GA14" s="56">
        <v>757</v>
      </c>
      <c r="GB14" s="7"/>
      <c r="GC14" s="8"/>
      <c r="GD14" s="56">
        <f>761.445-GD7</f>
        <v>749.02600000000007</v>
      </c>
      <c r="GE14" s="56">
        <f>720.235-GE7</f>
        <v>710.09400000000005</v>
      </c>
      <c r="GF14" s="7"/>
      <c r="GG14" s="8"/>
      <c r="GH14" s="56">
        <f>49043.947-GH7</f>
        <v>18558.657999999999</v>
      </c>
      <c r="GI14" s="56">
        <f>45299.149-GI7</f>
        <v>17337.848999999998</v>
      </c>
      <c r="GJ14" s="7"/>
      <c r="GK14" s="8"/>
      <c r="GL14" s="56">
        <f>11439.399-GL7</f>
        <v>6717.8679999999995</v>
      </c>
      <c r="GM14" s="56">
        <f>1302.478-GM7</f>
        <v>917.87100000000009</v>
      </c>
      <c r="GN14" s="7"/>
      <c r="GO14" s="8"/>
      <c r="GP14" s="56">
        <f>76669-GP7</f>
        <v>-34194</v>
      </c>
      <c r="GQ14" s="56">
        <f>75940-GQ7</f>
        <v>4073</v>
      </c>
      <c r="GR14" s="7"/>
      <c r="GS14" s="8"/>
      <c r="GT14" s="56">
        <v>0</v>
      </c>
      <c r="GU14" s="56"/>
      <c r="GV14" s="7"/>
      <c r="GW14" s="8"/>
      <c r="GX14" s="56">
        <f>3320.85-GX7</f>
        <v>794.75</v>
      </c>
      <c r="GY14" s="56">
        <f>2396.988-GY7</f>
        <v>276.04099999999971</v>
      </c>
      <c r="GZ14" s="7"/>
      <c r="HA14" s="8"/>
      <c r="HB14" s="56">
        <v>0</v>
      </c>
      <c r="HC14" s="56"/>
      <c r="HD14" s="7"/>
      <c r="HE14" s="8"/>
      <c r="HF14" s="56">
        <v>2786.8710000000001</v>
      </c>
      <c r="HG14" s="56">
        <f>SUM(HG11:HG13)</f>
        <v>0</v>
      </c>
      <c r="HH14" s="56">
        <f>SUM(HH11:HH13)</f>
        <v>763.67399999999998</v>
      </c>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6" customFormat="1" ht="6" customHeight="1" x14ac:dyDescent="0.2">
      <c r="B15" s="65"/>
      <c r="C15" s="28"/>
      <c r="D15" s="29"/>
      <c r="E15" s="55"/>
      <c r="F15" s="55"/>
      <c r="G15" s="55"/>
      <c r="H15" s="55"/>
      <c r="I15" s="55"/>
      <c r="J15" s="28"/>
      <c r="K15" s="29"/>
      <c r="L15" s="51"/>
      <c r="M15" s="51"/>
      <c r="N15" s="28"/>
      <c r="O15" s="29"/>
      <c r="P15" s="51"/>
      <c r="Q15" s="51"/>
      <c r="R15" s="51"/>
      <c r="S15" s="51"/>
      <c r="T15" s="51"/>
      <c r="U15" s="28"/>
      <c r="V15" s="29"/>
      <c r="W15" s="51"/>
      <c r="X15" s="51"/>
      <c r="Y15" s="51"/>
      <c r="Z15" s="51"/>
      <c r="AA15" s="51"/>
      <c r="AB15" s="28"/>
      <c r="AC15" s="29"/>
      <c r="AD15" s="51"/>
      <c r="AE15" s="51"/>
      <c r="AF15" s="28"/>
      <c r="AG15" s="29"/>
      <c r="AH15" s="51"/>
      <c r="AI15" s="51"/>
      <c r="AJ15" s="28"/>
      <c r="AK15" s="29"/>
      <c r="AL15" s="51"/>
      <c r="AM15" s="51"/>
      <c r="AN15" s="51"/>
      <c r="AO15" s="51"/>
      <c r="AP15" s="28"/>
      <c r="AQ15" s="29"/>
      <c r="AR15" s="51"/>
      <c r="AS15" s="51"/>
      <c r="AT15" s="51"/>
      <c r="AU15" s="51"/>
      <c r="AV15" s="51"/>
      <c r="AW15" s="28"/>
      <c r="AX15" s="29"/>
      <c r="AY15" s="51"/>
      <c r="AZ15" s="51"/>
      <c r="BA15" s="28"/>
      <c r="BB15" s="29"/>
      <c r="BC15" s="29"/>
      <c r="BD15" s="29"/>
      <c r="BE15" s="28"/>
      <c r="BF15" s="29"/>
      <c r="BG15" s="29"/>
      <c r="BH15" s="29"/>
      <c r="BI15" s="29"/>
      <c r="BJ15" s="29"/>
      <c r="BK15" s="29"/>
      <c r="BL15" s="28"/>
      <c r="BM15" s="29"/>
      <c r="BN15" s="29"/>
      <c r="BO15" s="29"/>
      <c r="BP15" s="29"/>
      <c r="BQ15" s="29"/>
      <c r="BR15" s="29"/>
      <c r="BS15" s="28"/>
      <c r="BT15" s="29"/>
      <c r="BU15" s="29"/>
      <c r="BV15" s="29"/>
      <c r="BW15" s="28"/>
      <c r="BX15" s="29"/>
      <c r="BY15" s="51"/>
      <c r="BZ15" s="51"/>
      <c r="CA15" s="28"/>
      <c r="CB15" s="29"/>
      <c r="CC15" s="51"/>
      <c r="CD15" s="51"/>
      <c r="CE15" s="51"/>
      <c r="CF15" s="51"/>
      <c r="CG15" s="28"/>
      <c r="CH15" s="29"/>
      <c r="CI15" s="51"/>
      <c r="CJ15" s="51"/>
      <c r="CK15" s="28"/>
      <c r="CL15" s="29"/>
      <c r="CM15" s="51"/>
      <c r="CN15" s="51"/>
      <c r="CO15" s="51"/>
      <c r="CP15" s="51"/>
      <c r="CQ15" s="51"/>
      <c r="CR15" s="28"/>
      <c r="CS15" s="29"/>
      <c r="CT15" s="51"/>
      <c r="CU15" s="51"/>
      <c r="CV15" s="28"/>
      <c r="CW15" s="29"/>
      <c r="CX15" s="51"/>
      <c r="CY15" s="51"/>
      <c r="CZ15" s="51"/>
      <c r="DA15" s="51"/>
      <c r="DB15" s="28"/>
      <c r="DC15" s="29"/>
      <c r="DD15" s="51"/>
      <c r="DE15" s="51"/>
      <c r="DF15" s="28"/>
      <c r="DG15" s="29"/>
      <c r="DH15" s="51"/>
      <c r="DI15" s="51"/>
      <c r="DJ15" s="51"/>
      <c r="DK15" s="51"/>
      <c r="DL15" s="51"/>
      <c r="DM15" s="28"/>
      <c r="DN15" s="29"/>
      <c r="DO15" s="51"/>
      <c r="DP15" s="51"/>
      <c r="DQ15" s="51"/>
      <c r="DR15" s="51"/>
      <c r="DS15" s="51"/>
      <c r="DT15" s="28"/>
      <c r="DU15" s="29"/>
      <c r="DV15" s="51"/>
      <c r="DW15" s="51"/>
      <c r="DX15" s="28"/>
      <c r="DY15" s="29"/>
      <c r="DZ15" s="51"/>
      <c r="EA15" s="51"/>
      <c r="EB15" s="28"/>
      <c r="EC15" s="29"/>
      <c r="ED15" s="51"/>
      <c r="EE15" s="51"/>
      <c r="EF15" s="28"/>
      <c r="EG15" s="29"/>
      <c r="EH15" s="51"/>
      <c r="EI15" s="51"/>
      <c r="EJ15" s="28"/>
      <c r="EK15" s="29"/>
      <c r="EL15" s="51"/>
      <c r="EM15" s="51"/>
      <c r="EN15" s="28"/>
      <c r="EO15" s="29"/>
      <c r="EP15" s="51"/>
      <c r="EQ15" s="51"/>
      <c r="ER15" s="7"/>
      <c r="ES15" s="8"/>
      <c r="ET15" s="51"/>
      <c r="EU15" s="51"/>
      <c r="EV15" s="7"/>
      <c r="EW15" s="8"/>
      <c r="EX15" s="51"/>
      <c r="EY15" s="51"/>
      <c r="EZ15" s="7"/>
      <c r="FA15" s="8"/>
      <c r="FB15" s="51"/>
      <c r="FC15" s="51"/>
      <c r="FD15" s="7"/>
      <c r="FE15" s="8"/>
      <c r="FF15" s="51"/>
      <c r="FG15" s="51"/>
      <c r="FH15" s="7"/>
      <c r="FI15" s="8"/>
      <c r="FJ15" s="51"/>
      <c r="FK15" s="51"/>
      <c r="FL15" s="7"/>
      <c r="FM15" s="8"/>
      <c r="FN15" s="51"/>
      <c r="FO15" s="51"/>
      <c r="FP15" s="7"/>
      <c r="FQ15" s="8"/>
      <c r="FR15" s="51"/>
      <c r="FS15" s="51"/>
      <c r="FT15" s="7"/>
      <c r="FU15" s="8"/>
      <c r="FV15" s="51"/>
      <c r="FW15" s="51"/>
      <c r="FX15" s="7"/>
      <c r="FY15" s="8"/>
      <c r="FZ15" s="51"/>
      <c r="GA15" s="51"/>
      <c r="GB15" s="7"/>
      <c r="GC15" s="8"/>
      <c r="GD15" s="51"/>
      <c r="GE15" s="51"/>
      <c r="GF15" s="7"/>
      <c r="GG15" s="8"/>
      <c r="GH15" s="51"/>
      <c r="GI15" s="51"/>
      <c r="GJ15" s="7"/>
      <c r="GK15" s="8"/>
      <c r="GL15" s="51"/>
      <c r="GM15" s="51"/>
      <c r="GN15" s="7"/>
      <c r="GO15" s="8"/>
      <c r="GP15" s="51"/>
      <c r="GQ15" s="51"/>
      <c r="GR15" s="7"/>
      <c r="GS15" s="8"/>
      <c r="GT15" s="51"/>
      <c r="GU15" s="51"/>
      <c r="GV15" s="7"/>
      <c r="GW15" s="8"/>
      <c r="GX15" s="51"/>
      <c r="GY15" s="51"/>
      <c r="GZ15" s="7"/>
      <c r="HA15" s="8"/>
      <c r="HB15" s="51"/>
      <c r="HC15" s="51"/>
      <c r="HD15" s="7"/>
      <c r="HE15" s="8"/>
      <c r="HF15" s="51"/>
      <c r="HG15" s="51"/>
      <c r="HH15" s="51"/>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54" customFormat="1" x14ac:dyDescent="0.2">
      <c r="B16" s="33" t="s">
        <v>126</v>
      </c>
      <c r="C16" s="48"/>
      <c r="D16" s="49"/>
      <c r="E16" s="57">
        <v>125</v>
      </c>
      <c r="F16" s="57">
        <v>200</v>
      </c>
      <c r="G16" s="57">
        <v>200</v>
      </c>
      <c r="H16" s="57">
        <v>0</v>
      </c>
      <c r="I16" s="57"/>
      <c r="J16" s="48"/>
      <c r="K16" s="49"/>
      <c r="L16" s="56">
        <v>0</v>
      </c>
      <c r="M16" s="56">
        <v>0</v>
      </c>
      <c r="N16" s="48"/>
      <c r="O16" s="49"/>
      <c r="P16" s="56">
        <f>P49</f>
        <v>-20.087999999999994</v>
      </c>
      <c r="Q16" s="56">
        <f>Q49</f>
        <v>-29.698</v>
      </c>
      <c r="R16" s="56">
        <v>-366.1</v>
      </c>
      <c r="S16" s="56">
        <v>463.851</v>
      </c>
      <c r="T16" s="56"/>
      <c r="U16" s="48"/>
      <c r="V16" s="49"/>
      <c r="W16" s="56">
        <v>37</v>
      </c>
      <c r="X16" s="56">
        <v>-232.47300000000001</v>
      </c>
      <c r="Y16" s="56">
        <v>267.22199999999998</v>
      </c>
      <c r="Z16" s="56">
        <v>-99.972999999999999</v>
      </c>
      <c r="AA16" s="56"/>
      <c r="AB16" s="48"/>
      <c r="AC16" s="49"/>
      <c r="AD16" s="56">
        <v>45</v>
      </c>
      <c r="AE16" s="56">
        <v>63</v>
      </c>
      <c r="AF16" s="48"/>
      <c r="AG16" s="49"/>
      <c r="AH16" s="56">
        <v>156.5</v>
      </c>
      <c r="AI16" s="56">
        <v>25</v>
      </c>
      <c r="AJ16" s="48"/>
      <c r="AK16" s="49"/>
      <c r="AL16" s="56">
        <v>0</v>
      </c>
      <c r="AM16" s="56">
        <v>0</v>
      </c>
      <c r="AN16" s="56">
        <v>0</v>
      </c>
      <c r="AO16" s="56"/>
      <c r="AP16" s="48"/>
      <c r="AQ16" s="49"/>
      <c r="AR16" s="56">
        <v>179.595</v>
      </c>
      <c r="AS16" s="56">
        <v>78.125</v>
      </c>
      <c r="AT16" s="56">
        <v>103.916</v>
      </c>
      <c r="AU16" s="56">
        <v>47.052999999999997</v>
      </c>
      <c r="AV16" s="56"/>
      <c r="AW16" s="48"/>
      <c r="AX16" s="49"/>
      <c r="AY16" s="56">
        <v>0</v>
      </c>
      <c r="AZ16" s="56">
        <v>0</v>
      </c>
      <c r="BA16" s="48"/>
      <c r="BB16" s="49"/>
      <c r="BC16" s="49">
        <v>0</v>
      </c>
      <c r="BD16" s="49">
        <v>0</v>
      </c>
      <c r="BE16" s="48"/>
      <c r="BF16" s="49"/>
      <c r="BG16" s="49">
        <v>-5896</v>
      </c>
      <c r="BH16" s="49">
        <v>3688</v>
      </c>
      <c r="BI16" s="49">
        <v>3827</v>
      </c>
      <c r="BJ16" s="49">
        <v>0</v>
      </c>
      <c r="BK16" s="49"/>
      <c r="BL16" s="48"/>
      <c r="BM16" s="49"/>
      <c r="BN16" s="49">
        <v>1118.2550000000001</v>
      </c>
      <c r="BO16" s="49">
        <v>300</v>
      </c>
      <c r="BP16" s="49">
        <v>100</v>
      </c>
      <c r="BQ16" s="49">
        <v>50</v>
      </c>
      <c r="BR16" s="49"/>
      <c r="BS16" s="48"/>
      <c r="BT16" s="49"/>
      <c r="BU16" s="49">
        <v>25</v>
      </c>
      <c r="BV16" s="49">
        <v>25</v>
      </c>
      <c r="BW16" s="48"/>
      <c r="BX16" s="49"/>
      <c r="BY16" s="67">
        <v>0</v>
      </c>
      <c r="BZ16" s="56">
        <v>0</v>
      </c>
      <c r="CA16" s="48"/>
      <c r="CB16" s="49"/>
      <c r="CC16" s="56">
        <v>0</v>
      </c>
      <c r="CD16" s="56">
        <v>0</v>
      </c>
      <c r="CE16" s="56">
        <v>0</v>
      </c>
      <c r="CF16" s="56"/>
      <c r="CG16" s="48"/>
      <c r="CH16" s="49"/>
      <c r="CI16" s="56">
        <v>0</v>
      </c>
      <c r="CJ16" s="56">
        <v>0</v>
      </c>
      <c r="CK16" s="48"/>
      <c r="CL16" s="49"/>
      <c r="CM16" s="56">
        <v>42.174999999999997</v>
      </c>
      <c r="CN16" s="56">
        <v>0.66500000000000004</v>
      </c>
      <c r="CO16" s="56"/>
      <c r="CP16" s="56"/>
      <c r="CQ16" s="56"/>
      <c r="CR16" s="48"/>
      <c r="CS16" s="49"/>
      <c r="CT16" s="56">
        <v>151.37100000000001</v>
      </c>
      <c r="CU16" s="56">
        <v>58.5944</v>
      </c>
      <c r="CV16" s="48"/>
      <c r="CW16" s="49"/>
      <c r="CX16" s="56">
        <v>87</v>
      </c>
      <c r="CY16" s="56">
        <v>13</v>
      </c>
      <c r="CZ16" s="56"/>
      <c r="DA16" s="56"/>
      <c r="DB16" s="28"/>
      <c r="DC16" s="29"/>
      <c r="DD16" s="56">
        <v>0</v>
      </c>
      <c r="DE16" s="56">
        <v>0</v>
      </c>
      <c r="DF16" s="28"/>
      <c r="DG16" s="29"/>
      <c r="DH16" s="56">
        <v>168.21700000000001</v>
      </c>
      <c r="DI16" s="56">
        <v>207.73</v>
      </c>
      <c r="DJ16" s="56"/>
      <c r="DK16" s="56"/>
      <c r="DL16" s="56"/>
      <c r="DM16" s="48"/>
      <c r="DN16" s="49"/>
      <c r="DO16" s="67">
        <v>981</v>
      </c>
      <c r="DP16" s="56">
        <v>559</v>
      </c>
      <c r="DQ16" s="56"/>
      <c r="DR16" s="56"/>
      <c r="DS16" s="56"/>
      <c r="DT16" s="48"/>
      <c r="DU16" s="49"/>
      <c r="DV16" s="56">
        <v>75</v>
      </c>
      <c r="DW16" s="56">
        <v>-25</v>
      </c>
      <c r="DX16" s="48"/>
      <c r="DY16" s="49"/>
      <c r="DZ16" s="56">
        <v>813</v>
      </c>
      <c r="EA16" s="56">
        <v>-1249</v>
      </c>
      <c r="EB16" s="48"/>
      <c r="EC16" s="49"/>
      <c r="ED16" s="56">
        <f>-EE16</f>
        <v>0</v>
      </c>
      <c r="EE16" s="56">
        <v>0</v>
      </c>
      <c r="EF16" s="48"/>
      <c r="EG16" s="49"/>
      <c r="EH16" s="56">
        <v>0</v>
      </c>
      <c r="EI16" s="56">
        <v>0</v>
      </c>
      <c r="EJ16" s="48"/>
      <c r="EK16" s="49"/>
      <c r="EL16" s="56">
        <v>923</v>
      </c>
      <c r="EM16" s="56">
        <v>224</v>
      </c>
      <c r="EN16" s="48"/>
      <c r="EO16" s="49"/>
      <c r="EP16" s="56">
        <v>109.18</v>
      </c>
      <c r="EQ16" s="56">
        <v>0</v>
      </c>
      <c r="ER16" s="52"/>
      <c r="ES16" s="53"/>
      <c r="ET16" s="56">
        <v>161.86600000000001</v>
      </c>
      <c r="EU16" s="56">
        <v>81.41</v>
      </c>
      <c r="EV16" s="52"/>
      <c r="EW16" s="53"/>
      <c r="EX16" s="56">
        <v>0</v>
      </c>
      <c r="EY16" s="56"/>
      <c r="EZ16" s="52"/>
      <c r="FA16" s="53"/>
      <c r="FB16" s="56">
        <v>0</v>
      </c>
      <c r="FC16" s="56">
        <v>0</v>
      </c>
      <c r="FD16" s="52"/>
      <c r="FE16" s="53"/>
      <c r="FF16" s="56">
        <f>170-1869</f>
        <v>-1699</v>
      </c>
      <c r="FG16" s="56">
        <f>-309+491</f>
        <v>182</v>
      </c>
      <c r="FH16" s="52"/>
      <c r="FI16" s="53"/>
      <c r="FJ16" s="56">
        <v>182.297</v>
      </c>
      <c r="FK16" s="56">
        <v>181.57499999999999</v>
      </c>
      <c r="FL16" s="52"/>
      <c r="FM16" s="53"/>
      <c r="FN16" s="56">
        <v>0</v>
      </c>
      <c r="FO16" s="56">
        <v>0</v>
      </c>
      <c r="FP16" s="52"/>
      <c r="FQ16" s="53"/>
      <c r="FR16" s="56">
        <v>0</v>
      </c>
      <c r="FS16" s="56">
        <v>0</v>
      </c>
      <c r="FT16" s="56"/>
      <c r="FU16" s="49"/>
      <c r="FV16" s="56">
        <v>0</v>
      </c>
      <c r="FW16" s="56">
        <v>0</v>
      </c>
      <c r="FX16" s="52"/>
      <c r="FY16" s="53"/>
      <c r="FZ16" s="68">
        <v>1490</v>
      </c>
      <c r="GA16" s="68">
        <v>2087</v>
      </c>
      <c r="GB16" s="52"/>
      <c r="GC16" s="53"/>
      <c r="GD16" s="68">
        <v>0</v>
      </c>
      <c r="GE16" s="68">
        <v>0</v>
      </c>
      <c r="GF16" s="52"/>
      <c r="GG16" s="53"/>
      <c r="GH16" s="68">
        <v>1045.28</v>
      </c>
      <c r="GI16" s="68">
        <v>724.72900000000004</v>
      </c>
      <c r="GJ16" s="52"/>
      <c r="GK16" s="53"/>
      <c r="GL16" s="68">
        <v>551.60699999999997</v>
      </c>
      <c r="GM16" s="68">
        <v>79.152000000000001</v>
      </c>
      <c r="GN16" s="52"/>
      <c r="GO16" s="53"/>
      <c r="GP16" s="68">
        <v>0</v>
      </c>
      <c r="GQ16" s="68">
        <v>0</v>
      </c>
      <c r="GR16" s="52"/>
      <c r="GS16" s="53"/>
      <c r="GT16" s="51">
        <v>0</v>
      </c>
      <c r="GU16" s="68"/>
      <c r="GV16" s="52"/>
      <c r="GW16" s="53"/>
      <c r="GX16" s="68">
        <v>94.897999999999996</v>
      </c>
      <c r="GY16" s="68">
        <v>50</v>
      </c>
      <c r="GZ16" s="52"/>
      <c r="HA16" s="53"/>
      <c r="HB16" s="56">
        <v>0</v>
      </c>
      <c r="HC16" s="56"/>
      <c r="HD16" s="56"/>
      <c r="HE16" s="49"/>
      <c r="HF16" s="56">
        <v>0</v>
      </c>
      <c r="HG16" s="56">
        <v>0</v>
      </c>
      <c r="HH16" s="56">
        <v>0</v>
      </c>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54" customFormat="1" x14ac:dyDescent="0.2">
      <c r="B17" s="33" t="s">
        <v>127</v>
      </c>
      <c r="C17" s="48"/>
      <c r="D17" s="49"/>
      <c r="E17" s="57">
        <v>111.318</v>
      </c>
      <c r="F17" s="57">
        <v>8.4309999999999992</v>
      </c>
      <c r="G17" s="57">
        <v>12.38</v>
      </c>
      <c r="H17" s="57">
        <v>112.724</v>
      </c>
      <c r="I17" s="57"/>
      <c r="J17" s="48"/>
      <c r="K17" s="49"/>
      <c r="L17" s="56">
        <v>0</v>
      </c>
      <c r="M17" s="56">
        <v>0</v>
      </c>
      <c r="N17" s="48"/>
      <c r="O17" s="49"/>
      <c r="P17" s="56">
        <f>47.952</f>
        <v>47.951999999999998</v>
      </c>
      <c r="Q17" s="56">
        <f>148.581</f>
        <v>148.58099999999999</v>
      </c>
      <c r="R17" s="56">
        <v>242.11600000000001</v>
      </c>
      <c r="S17" s="56">
        <v>108.149</v>
      </c>
      <c r="T17" s="56"/>
      <c r="U17" s="48"/>
      <c r="V17" s="49"/>
      <c r="W17" s="56">
        <v>64.694999999999993</v>
      </c>
      <c r="X17" s="56">
        <v>872.44</v>
      </c>
      <c r="Y17" s="56">
        <v>4.931</v>
      </c>
      <c r="Z17" s="56">
        <v>268.11900000000003</v>
      </c>
      <c r="AA17" s="56"/>
      <c r="AB17" s="48"/>
      <c r="AC17" s="49"/>
      <c r="AD17" s="56">
        <v>274.18900000000002</v>
      </c>
      <c r="AE17" s="56">
        <v>277.58300000000003</v>
      </c>
      <c r="AF17" s="48"/>
      <c r="AG17" s="49"/>
      <c r="AH17" s="56">
        <v>0</v>
      </c>
      <c r="AI17" s="56">
        <v>0</v>
      </c>
      <c r="AJ17" s="48"/>
      <c r="AK17" s="49"/>
      <c r="AL17" s="56">
        <v>50.932000000000002</v>
      </c>
      <c r="AM17" s="56">
        <v>35</v>
      </c>
      <c r="AN17" s="56">
        <v>0</v>
      </c>
      <c r="AO17" s="56"/>
      <c r="AP17" s="48"/>
      <c r="AQ17" s="49"/>
      <c r="AR17" s="56">
        <v>203.45699999999999</v>
      </c>
      <c r="AS17" s="56">
        <v>172.07900000000001</v>
      </c>
      <c r="AT17" s="56">
        <v>161.756</v>
      </c>
      <c r="AU17" s="56">
        <v>92.283000000000001</v>
      </c>
      <c r="AV17" s="56"/>
      <c r="AW17" s="48"/>
      <c r="AX17" s="49"/>
      <c r="AY17" s="56">
        <v>0</v>
      </c>
      <c r="AZ17" s="56">
        <v>0</v>
      </c>
      <c r="BA17" s="48"/>
      <c r="BB17" s="49"/>
      <c r="BC17" s="49">
        <v>383.4</v>
      </c>
      <c r="BD17" s="49">
        <v>246.6</v>
      </c>
      <c r="BE17" s="48"/>
      <c r="BF17" s="49"/>
      <c r="BG17" s="49">
        <v>10079</v>
      </c>
      <c r="BH17" s="49">
        <v>5660</v>
      </c>
      <c r="BI17" s="49">
        <v>767</v>
      </c>
      <c r="BJ17" s="49">
        <v>0</v>
      </c>
      <c r="BK17" s="49"/>
      <c r="BL17" s="48"/>
      <c r="BM17" s="49"/>
      <c r="BN17" s="49">
        <v>1067.9949999999999</v>
      </c>
      <c r="BO17" s="49">
        <v>838.80399999999997</v>
      </c>
      <c r="BP17" s="49">
        <v>607.08799999999997</v>
      </c>
      <c r="BQ17" s="49">
        <v>470.399</v>
      </c>
      <c r="BR17" s="49"/>
      <c r="BS17" s="48"/>
      <c r="BT17" s="49"/>
      <c r="BU17" s="49">
        <v>0</v>
      </c>
      <c r="BV17" s="49">
        <v>0</v>
      </c>
      <c r="BW17" s="48"/>
      <c r="BX17" s="49"/>
      <c r="BY17" s="56">
        <v>-413</v>
      </c>
      <c r="BZ17" s="56">
        <v>329</v>
      </c>
      <c r="CA17" s="48"/>
      <c r="CB17" s="49"/>
      <c r="CC17" s="56">
        <v>0</v>
      </c>
      <c r="CD17" s="56">
        <v>0</v>
      </c>
      <c r="CE17" s="56">
        <v>0</v>
      </c>
      <c r="CF17" s="56"/>
      <c r="CG17" s="48"/>
      <c r="CH17" s="49"/>
      <c r="CI17" s="56">
        <v>1343</v>
      </c>
      <c r="CJ17" s="56">
        <v>1721</v>
      </c>
      <c r="CK17" s="48"/>
      <c r="CL17" s="49"/>
      <c r="CM17" s="56">
        <v>85.393000000000001</v>
      </c>
      <c r="CN17" s="56">
        <v>107.233</v>
      </c>
      <c r="CO17" s="56"/>
      <c r="CP17" s="56"/>
      <c r="CQ17" s="56"/>
      <c r="CR17" s="48"/>
      <c r="CS17" s="49"/>
      <c r="CT17" s="56">
        <v>0.93</v>
      </c>
      <c r="CU17" s="56">
        <v>0</v>
      </c>
      <c r="CV17" s="48"/>
      <c r="CW17" s="49"/>
      <c r="CX17" s="56">
        <v>57.295000000000002</v>
      </c>
      <c r="CY17" s="56">
        <v>0</v>
      </c>
      <c r="CZ17" s="56"/>
      <c r="DA17" s="56"/>
      <c r="DB17" s="28"/>
      <c r="DC17" s="29"/>
      <c r="DD17" s="56">
        <v>0</v>
      </c>
      <c r="DE17" s="56">
        <v>0</v>
      </c>
      <c r="DF17" s="28"/>
      <c r="DG17" s="29"/>
      <c r="DH17" s="56">
        <v>224.59100000000001</v>
      </c>
      <c r="DI17" s="56">
        <v>335.06799999999998</v>
      </c>
      <c r="DJ17" s="56"/>
      <c r="DK17" s="56"/>
      <c r="DL17" s="56"/>
      <c r="DM17" s="48"/>
      <c r="DN17" s="49"/>
      <c r="DO17" s="56">
        <v>4122</v>
      </c>
      <c r="DP17" s="56">
        <v>2714</v>
      </c>
      <c r="DQ17" s="56"/>
      <c r="DR17" s="56"/>
      <c r="DS17" s="56"/>
      <c r="DT17" s="48"/>
      <c r="DU17" s="49"/>
      <c r="DV17" s="56">
        <v>155.83600000000001</v>
      </c>
      <c r="DW17" s="56">
        <v>51.55</v>
      </c>
      <c r="DX17" s="48"/>
      <c r="DY17" s="49"/>
      <c r="DZ17" s="56">
        <v>1230</v>
      </c>
      <c r="EA17" s="56">
        <v>1983</v>
      </c>
      <c r="EB17" s="48"/>
      <c r="EC17" s="49"/>
      <c r="ED17" s="56">
        <v>0</v>
      </c>
      <c r="EE17" s="56">
        <v>63.323999999999998</v>
      </c>
      <c r="EF17" s="48"/>
      <c r="EG17" s="49"/>
      <c r="EH17" s="56">
        <v>48</v>
      </c>
      <c r="EI17" s="56">
        <v>36</v>
      </c>
      <c r="EJ17" s="48"/>
      <c r="EK17" s="49"/>
      <c r="EL17" s="56">
        <v>2277</v>
      </c>
      <c r="EM17" s="56">
        <v>2827</v>
      </c>
      <c r="EN17" s="48"/>
      <c r="EO17" s="49"/>
      <c r="EP17" s="56">
        <v>55.8</v>
      </c>
      <c r="EQ17" s="56">
        <v>92.2</v>
      </c>
      <c r="ER17" s="52"/>
      <c r="ES17" s="53"/>
      <c r="ET17" s="56">
        <v>0</v>
      </c>
      <c r="EU17" s="56">
        <v>0</v>
      </c>
      <c r="EV17" s="52"/>
      <c r="EW17" s="53"/>
      <c r="EX17" s="56">
        <v>0</v>
      </c>
      <c r="EY17" s="56"/>
      <c r="EZ17" s="52"/>
      <c r="FA17" s="53"/>
      <c r="FB17" s="56">
        <v>0</v>
      </c>
      <c r="FC17" s="56">
        <v>0</v>
      </c>
      <c r="FD17" s="52"/>
      <c r="FE17" s="53"/>
      <c r="FF17" s="56">
        <v>3687</v>
      </c>
      <c r="FG17" s="56">
        <v>2436</v>
      </c>
      <c r="FH17" s="52"/>
      <c r="FI17" s="53"/>
      <c r="FJ17" s="56">
        <v>255.322</v>
      </c>
      <c r="FK17" s="56">
        <v>86.27</v>
      </c>
      <c r="FL17" s="52"/>
      <c r="FM17" s="53"/>
      <c r="FN17" s="56">
        <v>0</v>
      </c>
      <c r="FO17" s="56">
        <v>0</v>
      </c>
      <c r="FP17" s="52"/>
      <c r="FQ17" s="53"/>
      <c r="FR17" s="56">
        <v>0</v>
      </c>
      <c r="FS17" s="56">
        <v>0</v>
      </c>
      <c r="FT17" s="52"/>
      <c r="FU17" s="53"/>
      <c r="FV17" s="56">
        <v>53.94</v>
      </c>
      <c r="FW17" s="56">
        <v>35.030999999999999</v>
      </c>
      <c r="FX17" s="52"/>
      <c r="FY17" s="53"/>
      <c r="FZ17" s="56">
        <v>0</v>
      </c>
      <c r="GA17" s="56">
        <v>0</v>
      </c>
      <c r="GB17" s="52"/>
      <c r="GC17" s="53"/>
      <c r="GD17" s="56">
        <v>0</v>
      </c>
      <c r="GE17" s="56">
        <v>0</v>
      </c>
      <c r="GF17" s="52"/>
      <c r="GG17" s="53"/>
      <c r="GH17" s="56">
        <v>0</v>
      </c>
      <c r="GI17" s="56">
        <v>0</v>
      </c>
      <c r="GJ17" s="52"/>
      <c r="GK17" s="53"/>
      <c r="GL17" s="56">
        <v>206.17</v>
      </c>
      <c r="GM17" s="56">
        <v>0</v>
      </c>
      <c r="GN17" s="52"/>
      <c r="GO17" s="53"/>
      <c r="GP17" s="56">
        <v>11031</v>
      </c>
      <c r="GQ17" s="56">
        <v>4623</v>
      </c>
      <c r="GR17" s="52"/>
      <c r="GS17" s="53"/>
      <c r="GT17" s="56">
        <v>0</v>
      </c>
      <c r="GU17" s="56"/>
      <c r="GV17" s="52"/>
      <c r="GW17" s="53"/>
      <c r="GX17" s="56">
        <v>96.09</v>
      </c>
      <c r="GY17" s="56">
        <v>37.49</v>
      </c>
      <c r="GZ17" s="52"/>
      <c r="HA17" s="53"/>
      <c r="HB17" s="56">
        <v>0</v>
      </c>
      <c r="HC17" s="56"/>
      <c r="HD17" s="52"/>
      <c r="HE17" s="53"/>
      <c r="HF17" s="56">
        <v>0</v>
      </c>
      <c r="HG17" s="56">
        <v>0</v>
      </c>
      <c r="HH17" s="56">
        <v>0</v>
      </c>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58" customFormat="1" x14ac:dyDescent="0.2">
      <c r="B18" s="59" t="s">
        <v>128</v>
      </c>
      <c r="C18" s="44"/>
      <c r="D18" s="45"/>
      <c r="E18" s="60">
        <f>E19-E16-E17</f>
        <v>2664.5029999999997</v>
      </c>
      <c r="F18" s="60">
        <f>F19-F16-F17</f>
        <v>2311.2060000000001</v>
      </c>
      <c r="G18" s="60">
        <f>G19-G16-G17</f>
        <v>2221.5329999999999</v>
      </c>
      <c r="H18" s="60">
        <f>H19-H16-H17</f>
        <v>2062.6789999999996</v>
      </c>
      <c r="I18" s="60"/>
      <c r="J18" s="44"/>
      <c r="K18" s="45"/>
      <c r="L18" s="61">
        <f>L19-L16-L17</f>
        <v>278.07799999999997</v>
      </c>
      <c r="M18" s="61">
        <f>M19-M16-M17</f>
        <v>643</v>
      </c>
      <c r="N18" s="44"/>
      <c r="O18" s="45"/>
      <c r="P18" s="61">
        <f>P19-P17-P16</f>
        <v>1152.836</v>
      </c>
      <c r="Q18" s="61">
        <f>Q19-Q17-Q16</f>
        <v>1227.8570000000002</v>
      </c>
      <c r="R18" s="61">
        <f>R19-R17-R16</f>
        <v>1482.2849999999999</v>
      </c>
      <c r="S18" s="61">
        <f>S19-S17-S16</f>
        <v>1201.1769999999997</v>
      </c>
      <c r="T18" s="43"/>
      <c r="U18" s="44"/>
      <c r="V18" s="45"/>
      <c r="W18" s="61">
        <f>W19-W16-W17</f>
        <v>773.75199999999995</v>
      </c>
      <c r="X18" s="61">
        <f>X19-X16-X17</f>
        <v>718.15999999999985</v>
      </c>
      <c r="Y18" s="61">
        <f>Y19-Y16-Y17</f>
        <v>546.92000000000007</v>
      </c>
      <c r="Z18" s="61">
        <f>Z19-Z16-Z17</f>
        <v>549.74899999999991</v>
      </c>
      <c r="AA18" s="61"/>
      <c r="AB18" s="44"/>
      <c r="AC18" s="45"/>
      <c r="AD18" s="61">
        <f>AD19-AD16-AD17</f>
        <v>3000.6620000000003</v>
      </c>
      <c r="AE18" s="61">
        <f>AE19-AE16-AE17</f>
        <v>2671.502</v>
      </c>
      <c r="AF18" s="44"/>
      <c r="AG18" s="45"/>
      <c r="AH18" s="61">
        <f>AH19-AH16-AH17</f>
        <v>1421.4960000000003</v>
      </c>
      <c r="AI18" s="61">
        <f>AI19-AI16-AI17</f>
        <v>458.30199999999991</v>
      </c>
      <c r="AJ18" s="44"/>
      <c r="AK18" s="45"/>
      <c r="AL18" s="61">
        <f>AL19-AL16-AL17</f>
        <v>604.46100000000001</v>
      </c>
      <c r="AM18" s="61">
        <f>AM19-AM16-AM17</f>
        <v>305.20900000000006</v>
      </c>
      <c r="AN18" s="61">
        <f>AN19-AN16-AN17</f>
        <v>148.31099999999998</v>
      </c>
      <c r="AO18" s="61"/>
      <c r="AP18" s="44"/>
      <c r="AQ18" s="45"/>
      <c r="AR18" s="61">
        <f>AR19-AR16-AR17</f>
        <v>284.2729999999998</v>
      </c>
      <c r="AS18" s="61">
        <f>AS19-AS16-AS17</f>
        <v>214.27699999999999</v>
      </c>
      <c r="AT18" s="61">
        <f>AT19-AT16-AT17</f>
        <v>134.68000000000009</v>
      </c>
      <c r="AU18" s="61">
        <f>AU19-AU16-AU17</f>
        <v>101.67800000000001</v>
      </c>
      <c r="AV18" s="61"/>
      <c r="AW18" s="44"/>
      <c r="AX18" s="45"/>
      <c r="AY18" s="61">
        <f>AY19-AY16-AY17</f>
        <v>1000</v>
      </c>
      <c r="AZ18" s="61">
        <f>AZ19-AZ16-AZ17</f>
        <v>730</v>
      </c>
      <c r="BA18" s="44"/>
      <c r="BB18" s="45"/>
      <c r="BC18" s="45">
        <f>BC19-BC17-BC16</f>
        <v>10127.088000000002</v>
      </c>
      <c r="BD18" s="45">
        <f>BD19-BD17-BD16</f>
        <v>9489.7869999999984</v>
      </c>
      <c r="BE18" s="44"/>
      <c r="BF18" s="45"/>
      <c r="BG18" s="45">
        <f>BG19-BG17-BG16</f>
        <v>19387</v>
      </c>
      <c r="BH18" s="45">
        <f>BH19-BH17-BH16</f>
        <v>25022</v>
      </c>
      <c r="BI18" s="45">
        <f>BI19-BI17-BI16</f>
        <v>5234</v>
      </c>
      <c r="BJ18" s="45">
        <f>BJ19-BJ17-BJ16</f>
        <v>970</v>
      </c>
      <c r="BK18" s="45"/>
      <c r="BL18" s="44"/>
      <c r="BM18" s="45"/>
      <c r="BN18" s="45">
        <f>BN19-BN17-BN16</f>
        <v>4498.8649999999998</v>
      </c>
      <c r="BO18" s="45">
        <f>BO19-BO17-BO16</f>
        <v>4105.866</v>
      </c>
      <c r="BP18" s="45">
        <f>BP19-BP17-BP16</f>
        <v>2307.6670000000004</v>
      </c>
      <c r="BQ18" s="45">
        <f>BQ19-BQ17-BQ16</f>
        <v>1747.8820000000001</v>
      </c>
      <c r="BR18" s="45"/>
      <c r="BS18" s="44"/>
      <c r="BT18" s="45"/>
      <c r="BU18" s="45">
        <f>BU19-BU16-BU17</f>
        <v>223.636</v>
      </c>
      <c r="BV18" s="45">
        <f>BV19-BV16-BV17</f>
        <v>42.084000000000003</v>
      </c>
      <c r="BW18" s="44"/>
      <c r="BX18" s="45"/>
      <c r="BY18" s="45">
        <f>BY19-BY16-BY17</f>
        <v>1947</v>
      </c>
      <c r="BZ18" s="45">
        <f>BZ19-BZ16-BZ17</f>
        <v>1664</v>
      </c>
      <c r="CA18" s="44"/>
      <c r="CB18" s="45"/>
      <c r="CC18" s="61">
        <f>CC19-CC16-CC17</f>
        <v>4494.4519999999993</v>
      </c>
      <c r="CD18" s="61">
        <f>CD19-CD16-CD17</f>
        <v>2681.0329999999999</v>
      </c>
      <c r="CE18" s="61">
        <f>CE19-CE16-CE17</f>
        <v>1148.1590000000001</v>
      </c>
      <c r="CF18" s="61"/>
      <c r="CG18" s="44"/>
      <c r="CH18" s="45"/>
      <c r="CI18" s="61">
        <f>CI19-CI16-CI17</f>
        <v>3707</v>
      </c>
      <c r="CJ18" s="61">
        <f>CJ19-CJ16-CJ17</f>
        <v>3784</v>
      </c>
      <c r="CK18" s="44"/>
      <c r="CL18" s="45"/>
      <c r="CM18" s="61">
        <f>CM19-CM16-CM17</f>
        <v>470.47800000000007</v>
      </c>
      <c r="CN18" s="61">
        <f>CN19-CN16-CN17</f>
        <v>443.66199999999998</v>
      </c>
      <c r="CO18" s="61"/>
      <c r="CP18" s="61"/>
      <c r="CQ18" s="61"/>
      <c r="CR18" s="44"/>
      <c r="CS18" s="45"/>
      <c r="CT18" s="61">
        <f>CT19-CT16-CT17</f>
        <v>413.11600000000004</v>
      </c>
      <c r="CU18" s="61">
        <f>CU19-CU16-CU17</f>
        <v>328.43659999999994</v>
      </c>
      <c r="CV18" s="44"/>
      <c r="CW18" s="45"/>
      <c r="CX18" s="61">
        <f>CX19-CX16-CX17</f>
        <v>648.76699999999994</v>
      </c>
      <c r="CY18" s="61">
        <f>CY19-CY16-CY17</f>
        <v>138.62900000000002</v>
      </c>
      <c r="CZ18" s="61"/>
      <c r="DA18" s="61"/>
      <c r="DB18" s="44"/>
      <c r="DC18" s="45"/>
      <c r="DD18" s="61">
        <f>DD19-DD17-DD16</f>
        <v>247.392</v>
      </c>
      <c r="DE18" s="61">
        <f>DE19-DE17-DE16</f>
        <v>249.40899999999999</v>
      </c>
      <c r="DF18" s="44"/>
      <c r="DG18" s="45"/>
      <c r="DH18" s="61">
        <f>DH19-DH17-DH16</f>
        <v>2728.6800000000003</v>
      </c>
      <c r="DI18" s="61">
        <f>DI19-DI17-DI16</f>
        <v>2119.4119999999998</v>
      </c>
      <c r="DJ18" s="61"/>
      <c r="DK18" s="61"/>
      <c r="DL18" s="61"/>
      <c r="DM18" s="44"/>
      <c r="DN18" s="45"/>
      <c r="DO18" s="61">
        <f>DO19-DO17-DO16</f>
        <v>16443</v>
      </c>
      <c r="DP18" s="61">
        <f>DP19-DP17-DP16</f>
        <v>15590</v>
      </c>
      <c r="DQ18" s="61"/>
      <c r="DR18" s="61"/>
      <c r="DS18" s="61"/>
      <c r="DT18" s="44"/>
      <c r="DU18" s="45"/>
      <c r="DV18" s="61">
        <f>DV19-DV17-DV16</f>
        <v>497.29399999999987</v>
      </c>
      <c r="DW18" s="61">
        <f>DW19-DW17-DW16</f>
        <v>523.46100000000001</v>
      </c>
      <c r="DX18" s="44"/>
      <c r="DY18" s="45"/>
      <c r="DZ18" s="61">
        <f>DZ19-DZ17-DZ16</f>
        <v>10697</v>
      </c>
      <c r="EA18" s="61">
        <f>EA19-EA17-EA16</f>
        <v>11577</v>
      </c>
      <c r="EB18" s="44"/>
      <c r="EC18" s="45"/>
      <c r="ED18" s="61">
        <f>ED19-ED16-ED17</f>
        <v>3665.8889999999992</v>
      </c>
      <c r="EE18" s="61">
        <f>EE19-EE16-EE17</f>
        <v>3024.2080000000001</v>
      </c>
      <c r="EF18" s="44"/>
      <c r="EG18" s="45"/>
      <c r="EH18" s="61">
        <f>EH19-EH16-EH17</f>
        <v>356.75</v>
      </c>
      <c r="EI18" s="61">
        <f>EI19-EI16-EI17</f>
        <v>191.18699999999998</v>
      </c>
      <c r="EJ18" s="44"/>
      <c r="EK18" s="45"/>
      <c r="EL18" s="61">
        <f>EL19-EL16-EL17</f>
        <v>7055</v>
      </c>
      <c r="EM18" s="61">
        <f>EM19-EM16-EM17</f>
        <v>4809</v>
      </c>
      <c r="EN18" s="44"/>
      <c r="EO18" s="45"/>
      <c r="EP18" s="61">
        <f>EP19-EP16-EP17</f>
        <v>428.6110000000001</v>
      </c>
      <c r="EQ18" s="61">
        <f>EQ19-EQ16-EQ17</f>
        <v>355.76900000000006</v>
      </c>
      <c r="ER18" s="63"/>
      <c r="ES18" s="64"/>
      <c r="ET18" s="61">
        <f>ET19-ET16-ET17</f>
        <v>1619.8509999999997</v>
      </c>
      <c r="EU18" s="61">
        <f>EU19-EU16-EU17</f>
        <v>1656.6660000000002</v>
      </c>
      <c r="EV18" s="63"/>
      <c r="EW18" s="64"/>
      <c r="EX18" s="61">
        <f>EX19-EX16-EX17</f>
        <v>1095.798</v>
      </c>
      <c r="EY18" s="61"/>
      <c r="EZ18" s="63"/>
      <c r="FA18" s="64"/>
      <c r="FB18" s="61">
        <f>FB19-FB16-FB17</f>
        <v>142.566</v>
      </c>
      <c r="FC18" s="61">
        <f>FC19-FC16-FC17</f>
        <v>200.73800000000003</v>
      </c>
      <c r="FD18" s="63"/>
      <c r="FE18" s="64"/>
      <c r="FF18" s="61">
        <f>FF19-FF16-FF17</f>
        <v>16416</v>
      </c>
      <c r="FG18" s="61">
        <f>FG19-FG16-FG17</f>
        <v>14801</v>
      </c>
      <c r="FH18" s="63"/>
      <c r="FI18" s="64"/>
      <c r="FJ18" s="61">
        <f>FJ19-FJ16-FJ17</f>
        <v>1891.6279999999997</v>
      </c>
      <c r="FK18" s="61">
        <f>FK19-FK16-FK17</f>
        <v>1323.7</v>
      </c>
      <c r="FL18" s="63"/>
      <c r="FM18" s="64"/>
      <c r="FN18" s="61">
        <f>FN19-FN16-FN17</f>
        <v>1402.6130000000001</v>
      </c>
      <c r="FO18" s="61">
        <f>FO19-FO16-FO17</f>
        <v>1344.8039999999999</v>
      </c>
      <c r="FP18" s="63"/>
      <c r="FQ18" s="64"/>
      <c r="FR18" s="61">
        <f>FR19-FR16-FR17</f>
        <v>5392.3519999999999</v>
      </c>
      <c r="FS18" s="61">
        <f>FS19-FS16-FS17</f>
        <v>2350.7370000000001</v>
      </c>
      <c r="FT18" s="63"/>
      <c r="FU18" s="64"/>
      <c r="FV18" s="61">
        <f>FV19-FV16-FV17</f>
        <v>1616.798</v>
      </c>
      <c r="FW18" s="61">
        <f>FW19-FW16-FW17</f>
        <v>1264.2829999999999</v>
      </c>
      <c r="FX18" s="63"/>
      <c r="FY18" s="64"/>
      <c r="FZ18" s="61">
        <f>FZ19-FZ16-FZ17</f>
        <v>2589</v>
      </c>
      <c r="GA18" s="61">
        <f>GA19-GA16-GA17</f>
        <v>14875</v>
      </c>
      <c r="GB18" s="63"/>
      <c r="GC18" s="64"/>
      <c r="GD18" s="61">
        <f>GD19-GD16-GD17</f>
        <v>597.82899999999995</v>
      </c>
      <c r="GE18" s="61">
        <f>GE19-GE16-GE17</f>
        <v>653.77099999999996</v>
      </c>
      <c r="GF18" s="63"/>
      <c r="GG18" s="64"/>
      <c r="GH18" s="61">
        <f>GH19-GH16-GH17</f>
        <v>17080.447</v>
      </c>
      <c r="GI18" s="61">
        <f>GI19-GI16-GI17</f>
        <v>16028.680999999997</v>
      </c>
      <c r="GJ18" s="63"/>
      <c r="GK18" s="64"/>
      <c r="GL18" s="61">
        <f>GL19-GL16-GL17</f>
        <v>10521.453</v>
      </c>
      <c r="GM18" s="61">
        <f>GM19-GM16-GM17</f>
        <v>2675.7460000000001</v>
      </c>
      <c r="GN18" s="63"/>
      <c r="GO18" s="64"/>
      <c r="GP18" s="61">
        <f>GP19-GP16-GP17</f>
        <v>51342</v>
      </c>
      <c r="GQ18" s="61">
        <f>GQ19-GQ16-GQ17</f>
        <v>27866</v>
      </c>
      <c r="GR18" s="63"/>
      <c r="GS18" s="64"/>
      <c r="GT18" s="61">
        <f>GT19-GT16-GT17</f>
        <v>77</v>
      </c>
      <c r="GU18" s="61"/>
      <c r="GV18" s="63"/>
      <c r="GW18" s="64"/>
      <c r="GX18" s="61">
        <f>GX19-GX16-GX17</f>
        <v>982.30000000000007</v>
      </c>
      <c r="GY18" s="61">
        <f>GY19-GY16-GY17</f>
        <v>593.18499999999995</v>
      </c>
      <c r="GZ18" s="63"/>
      <c r="HA18" s="64"/>
      <c r="HB18" s="61">
        <v>59.945</v>
      </c>
      <c r="HC18" s="61"/>
      <c r="HD18" s="63"/>
      <c r="HE18" s="64"/>
      <c r="HF18" s="61">
        <f>HF19-HF16-HF17</f>
        <v>6.923</v>
      </c>
      <c r="HG18" s="61">
        <v>59.945</v>
      </c>
      <c r="HH18" s="61">
        <v>1.518</v>
      </c>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54" customFormat="1" x14ac:dyDescent="0.2">
      <c r="A19" s="69" t="s">
        <v>129</v>
      </c>
      <c r="B19" s="33"/>
      <c r="C19" s="48"/>
      <c r="D19" s="49"/>
      <c r="E19" s="57">
        <f>2900.821</f>
        <v>2900.8209999999999</v>
      </c>
      <c r="F19" s="57">
        <v>2519.6370000000002</v>
      </c>
      <c r="G19" s="57">
        <f>2433.913</f>
        <v>2433.913</v>
      </c>
      <c r="H19" s="57">
        <v>2175.4029999999998</v>
      </c>
      <c r="I19" s="57"/>
      <c r="J19" s="48"/>
      <c r="K19" s="49"/>
      <c r="L19" s="56">
        <f>278.299-L8</f>
        <v>278.07799999999997</v>
      </c>
      <c r="M19" s="56">
        <f>643-M8</f>
        <v>643</v>
      </c>
      <c r="N19" s="48"/>
      <c r="O19" s="49"/>
      <c r="P19" s="56">
        <v>1180.7</v>
      </c>
      <c r="Q19" s="56">
        <v>1346.74</v>
      </c>
      <c r="R19" s="56">
        <f>1358.301</f>
        <v>1358.3009999999999</v>
      </c>
      <c r="S19" s="56">
        <v>1773.1769999999999</v>
      </c>
      <c r="T19" s="56"/>
      <c r="U19" s="48"/>
      <c r="V19" s="49"/>
      <c r="W19" s="56">
        <v>875.447</v>
      </c>
      <c r="X19" s="56">
        <v>1358.127</v>
      </c>
      <c r="Y19" s="56">
        <f>2106.898-Y8</f>
        <v>819.07300000000009</v>
      </c>
      <c r="Z19" s="56">
        <f>1940.041-Z8</f>
        <v>717.89499999999998</v>
      </c>
      <c r="AA19" s="56"/>
      <c r="AB19" s="48"/>
      <c r="AC19" s="49"/>
      <c r="AD19" s="56">
        <f>5009.228-AD8</f>
        <v>3319.8510000000001</v>
      </c>
      <c r="AE19" s="56">
        <f>4530.117-AE8</f>
        <v>3012.085</v>
      </c>
      <c r="AF19" s="48"/>
      <c r="AG19" s="49"/>
      <c r="AH19" s="56">
        <f>3710.608-436.957-AH8</f>
        <v>1577.9960000000003</v>
      </c>
      <c r="AI19" s="56">
        <f>983.511-128.651-AI8</f>
        <v>483.30199999999991</v>
      </c>
      <c r="AJ19" s="48"/>
      <c r="AK19" s="49"/>
      <c r="AL19" s="56">
        <f>1043.681-32.467-AL8</f>
        <v>655.39300000000003</v>
      </c>
      <c r="AM19" s="56">
        <f>656.691-113.75-AM8</f>
        <v>340.20900000000006</v>
      </c>
      <c r="AN19" s="56">
        <f>170.159-AN8</f>
        <v>148.31099999999998</v>
      </c>
      <c r="AO19" s="56"/>
      <c r="AP19" s="48"/>
      <c r="AQ19" s="49"/>
      <c r="AR19" s="56">
        <f>1448.216-AR8</f>
        <v>667.32499999999982</v>
      </c>
      <c r="AS19" s="56">
        <f>1063.857-AS8</f>
        <v>464.48099999999999</v>
      </c>
      <c r="AT19" s="56">
        <f>939.815-AT8</f>
        <v>400.35200000000009</v>
      </c>
      <c r="AU19" s="56">
        <f>668.793-AU8</f>
        <v>241.01400000000001</v>
      </c>
      <c r="AV19" s="56"/>
      <c r="AW19" s="48"/>
      <c r="AX19" s="49"/>
      <c r="AY19" s="56">
        <f>37251-AY8</f>
        <v>1000</v>
      </c>
      <c r="AZ19" s="56">
        <f>48962-AZ8</f>
        <v>730</v>
      </c>
      <c r="BA19" s="48"/>
      <c r="BB19" s="49"/>
      <c r="BC19" s="49">
        <f>21491.029-2587.116-BC8</f>
        <v>10510.488000000001</v>
      </c>
      <c r="BD19" s="49">
        <f>19924.321-2377.216-BD8</f>
        <v>9736.3869999999988</v>
      </c>
      <c r="BE19" s="48"/>
      <c r="BF19" s="49"/>
      <c r="BG19" s="49">
        <f>65559-BG8</f>
        <v>23570</v>
      </c>
      <c r="BH19" s="49">
        <f>72770-BH8</f>
        <v>34370</v>
      </c>
      <c r="BI19" s="49">
        <f>30733-BI8</f>
        <v>9828</v>
      </c>
      <c r="BJ19" s="49">
        <f>2685-BJ8</f>
        <v>970</v>
      </c>
      <c r="BK19" s="49"/>
      <c r="BL19" s="48"/>
      <c r="BM19" s="49"/>
      <c r="BN19" s="49">
        <f>7235.115-550</f>
        <v>6685.1149999999998</v>
      </c>
      <c r="BO19" s="49">
        <f>5794.67-550</f>
        <v>5244.67</v>
      </c>
      <c r="BP19" s="49">
        <v>3014.7550000000001</v>
      </c>
      <c r="BQ19" s="49">
        <v>2268.2809999999999</v>
      </c>
      <c r="BR19" s="49"/>
      <c r="BS19" s="48"/>
      <c r="BT19" s="49"/>
      <c r="BU19" s="49">
        <v>248.636</v>
      </c>
      <c r="BV19" s="49">
        <v>67.084000000000003</v>
      </c>
      <c r="BW19" s="48"/>
      <c r="BX19" s="49"/>
      <c r="BY19" s="56">
        <f>7642-3687-BY8</f>
        <v>1534</v>
      </c>
      <c r="BZ19" s="56">
        <f>6896-2508-BZ8</f>
        <v>1993</v>
      </c>
      <c r="CA19" s="48"/>
      <c r="CB19" s="49"/>
      <c r="CC19" s="56">
        <f>10965.748-CC8</f>
        <v>4494.4519999999993</v>
      </c>
      <c r="CD19" s="56">
        <f>4032.024-CD8</f>
        <v>2681.0329999999999</v>
      </c>
      <c r="CE19" s="56">
        <f>1539.104-233.808-CE8</f>
        <v>1148.1590000000001</v>
      </c>
      <c r="CF19" s="56"/>
      <c r="CG19" s="48"/>
      <c r="CH19" s="49"/>
      <c r="CI19" s="56">
        <f>5763-CI8</f>
        <v>5050</v>
      </c>
      <c r="CJ19" s="56">
        <f>6068-CJ8</f>
        <v>5505</v>
      </c>
      <c r="CK19" s="48"/>
      <c r="CL19" s="49"/>
      <c r="CM19" s="56">
        <f>962.991-CM8</f>
        <v>598.04600000000005</v>
      </c>
      <c r="CN19" s="56">
        <f>898.401-CN8</f>
        <v>551.55999999999995</v>
      </c>
      <c r="CO19" s="56"/>
      <c r="CP19" s="56"/>
      <c r="CQ19" s="56"/>
      <c r="CR19" s="48"/>
      <c r="CS19" s="49"/>
      <c r="CT19" s="56">
        <f>849.84-CT8</f>
        <v>565.41700000000003</v>
      </c>
      <c r="CU19" s="56">
        <f>680.199-CU8</f>
        <v>387.03099999999995</v>
      </c>
      <c r="CV19" s="48"/>
      <c r="CW19" s="49"/>
      <c r="CX19" s="56">
        <f>1287.416-CX8</f>
        <v>793.0619999999999</v>
      </c>
      <c r="CY19" s="56">
        <f>188.858-CY8</f>
        <v>151.62900000000002</v>
      </c>
      <c r="CZ19" s="56"/>
      <c r="DA19" s="56"/>
      <c r="DB19" s="28"/>
      <c r="DC19" s="29"/>
      <c r="DD19" s="56">
        <v>247.392</v>
      </c>
      <c r="DE19" s="56">
        <v>249.40899999999999</v>
      </c>
      <c r="DF19" s="28"/>
      <c r="DG19" s="29"/>
      <c r="DH19" s="56">
        <f>10184.975-DH8</f>
        <v>3121.4880000000003</v>
      </c>
      <c r="DI19" s="56">
        <f>7625.328-DI8</f>
        <v>2662.21</v>
      </c>
      <c r="DJ19" s="56"/>
      <c r="DK19" s="56"/>
      <c r="DL19" s="56"/>
      <c r="DM19" s="48"/>
      <c r="DN19" s="49"/>
      <c r="DO19" s="56">
        <v>21546</v>
      </c>
      <c r="DP19" s="56">
        <v>18863</v>
      </c>
      <c r="DQ19" s="56"/>
      <c r="DR19" s="56"/>
      <c r="DS19" s="56"/>
      <c r="DT19" s="48"/>
      <c r="DU19" s="49"/>
      <c r="DV19" s="56">
        <f>1173.503-DV8</f>
        <v>728.12999999999988</v>
      </c>
      <c r="DW19" s="56">
        <f>957.914-DW8</f>
        <v>550.01099999999997</v>
      </c>
      <c r="DX19" s="48"/>
      <c r="DY19" s="49"/>
      <c r="DZ19" s="56">
        <v>12740</v>
      </c>
      <c r="EA19" s="56">
        <v>12311</v>
      </c>
      <c r="EB19" s="48"/>
      <c r="EC19" s="49"/>
      <c r="ED19" s="56">
        <f>10750.711-ED8</f>
        <v>3665.8889999999992</v>
      </c>
      <c r="EE19" s="56">
        <f>8672.241-EE8</f>
        <v>3087.5320000000002</v>
      </c>
      <c r="EF19" s="48"/>
      <c r="EG19" s="49"/>
      <c r="EH19" s="56">
        <f>594.11-EH8</f>
        <v>404.75</v>
      </c>
      <c r="EI19" s="56">
        <f>439.513-EI8</f>
        <v>227.18699999999998</v>
      </c>
      <c r="EJ19" s="48"/>
      <c r="EK19" s="49"/>
      <c r="EL19" s="56">
        <f>13204-EL8</f>
        <v>10255</v>
      </c>
      <c r="EM19" s="56">
        <f>8982-EM8</f>
        <v>7860</v>
      </c>
      <c r="EN19" s="48"/>
      <c r="EO19" s="49"/>
      <c r="EP19" s="56">
        <f>2575.583-EP8</f>
        <v>593.59100000000012</v>
      </c>
      <c r="EQ19" s="56">
        <f>1780.951-EQ8</f>
        <v>447.96900000000005</v>
      </c>
      <c r="ER19" s="52"/>
      <c r="ES19" s="53"/>
      <c r="ET19" s="56">
        <f>4687.081-350.412-ET8</f>
        <v>1781.7169999999996</v>
      </c>
      <c r="EU19" s="56">
        <f>3807.414-244.846-EU8</f>
        <v>1738.0760000000002</v>
      </c>
      <c r="EV19" s="52"/>
      <c r="EW19" s="53"/>
      <c r="EX19" s="56">
        <f>1095.798-EX8</f>
        <v>1095.798</v>
      </c>
      <c r="EY19" s="56"/>
      <c r="EZ19" s="52"/>
      <c r="FA19" s="53"/>
      <c r="FB19" s="56">
        <f>95.543+2.8+44.223</f>
        <v>142.566</v>
      </c>
      <c r="FC19" s="56">
        <f>166.097+2.8+31.841</f>
        <v>200.73800000000003</v>
      </c>
      <c r="FD19" s="52"/>
      <c r="FE19" s="53"/>
      <c r="FF19" s="56">
        <f>18404</f>
        <v>18404</v>
      </c>
      <c r="FG19" s="56">
        <f>17419</f>
        <v>17419</v>
      </c>
      <c r="FH19" s="52"/>
      <c r="FI19" s="53"/>
      <c r="FJ19" s="56">
        <f>4347.937-FJ8</f>
        <v>2329.2469999999998</v>
      </c>
      <c r="FK19" s="56">
        <f>2779.132-FK8</f>
        <v>1591.5450000000001</v>
      </c>
      <c r="FL19" s="52"/>
      <c r="FM19" s="53"/>
      <c r="FN19" s="56">
        <f>1081.872+320.741</f>
        <v>1402.6130000000001</v>
      </c>
      <c r="FO19" s="56">
        <f>1203.82+140.984</f>
        <v>1344.8039999999999</v>
      </c>
      <c r="FP19" s="52"/>
      <c r="FQ19" s="53"/>
      <c r="FR19" s="56">
        <f>8530.028-957.238-FR8</f>
        <v>5392.3519999999999</v>
      </c>
      <c r="FS19" s="56">
        <f>4328.356+30.935-FS8</f>
        <v>2350.7370000000001</v>
      </c>
      <c r="FT19" s="52"/>
      <c r="FU19" s="53"/>
      <c r="FV19" s="56">
        <f>1921.433-FV8</f>
        <v>1670.7380000000001</v>
      </c>
      <c r="FW19" s="56">
        <f>1634.052-FW8</f>
        <v>1299.3139999999999</v>
      </c>
      <c r="FX19" s="52"/>
      <c r="FY19" s="53"/>
      <c r="FZ19" s="56">
        <f>16409-4685-FZ8</f>
        <v>4079</v>
      </c>
      <c r="GA19" s="56">
        <f>16394+8692-GA8</f>
        <v>16962</v>
      </c>
      <c r="GB19" s="52"/>
      <c r="GC19" s="53"/>
      <c r="GD19" s="56">
        <f>629.18-GD8</f>
        <v>597.82899999999995</v>
      </c>
      <c r="GE19" s="56">
        <f>653.771-GE8</f>
        <v>653.77099999999996</v>
      </c>
      <c r="GF19" s="52"/>
      <c r="GG19" s="53"/>
      <c r="GH19" s="56">
        <f>46835.469-GH8</f>
        <v>18125.726999999999</v>
      </c>
      <c r="GI19" s="56">
        <f>40684.115-GI8</f>
        <v>16753.409999999996</v>
      </c>
      <c r="GJ19" s="52"/>
      <c r="GK19" s="53"/>
      <c r="GL19" s="56">
        <f>11439.399+1894.313-GL8</f>
        <v>11279.23</v>
      </c>
      <c r="GM19" s="56">
        <f>1302.478+1730.169-GM8</f>
        <v>2754.8980000000001</v>
      </c>
      <c r="GN19" s="52"/>
      <c r="GO19" s="53"/>
      <c r="GP19" s="56">
        <f>126074-GP8</f>
        <v>62373</v>
      </c>
      <c r="GQ19" s="56">
        <f>51505-GQ8</f>
        <v>32489</v>
      </c>
      <c r="GR19" s="52"/>
      <c r="GS19" s="53"/>
      <c r="GT19" s="56">
        <f>3054-GT8</f>
        <v>77</v>
      </c>
      <c r="GU19" s="56"/>
      <c r="GV19" s="52"/>
      <c r="GW19" s="53"/>
      <c r="GX19" s="56">
        <f>2413.946-GX8</f>
        <v>1173.288</v>
      </c>
      <c r="GY19" s="56">
        <f>1689.789-GY8</f>
        <v>680.67499999999995</v>
      </c>
      <c r="GZ19" s="52"/>
      <c r="HA19" s="53"/>
      <c r="HB19" s="56">
        <f>23058.359-HB8</f>
        <v>273.81100000000151</v>
      </c>
      <c r="HC19" s="56"/>
      <c r="HD19" s="52"/>
      <c r="HE19" s="53"/>
      <c r="HF19" s="56">
        <v>6.923</v>
      </c>
      <c r="HG19" s="56">
        <f>SUM(HG16:HG18)</f>
        <v>59.945</v>
      </c>
      <c r="HH19" s="56">
        <f>SUM(HH16:HH18)</f>
        <v>1.518</v>
      </c>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54" customFormat="1" ht="6.75" customHeight="1" x14ac:dyDescent="0.2">
      <c r="A20" s="69"/>
      <c r="B20" s="33"/>
      <c r="C20" s="48"/>
      <c r="D20" s="49"/>
      <c r="E20" s="55"/>
      <c r="F20" s="55"/>
      <c r="G20" s="55"/>
      <c r="H20" s="55"/>
      <c r="I20" s="55"/>
      <c r="J20" s="48"/>
      <c r="K20" s="49"/>
      <c r="L20" s="51"/>
      <c r="M20" s="51"/>
      <c r="N20" s="48"/>
      <c r="O20" s="49"/>
      <c r="P20" s="51"/>
      <c r="Q20" s="51"/>
      <c r="R20" s="51"/>
      <c r="S20" s="51"/>
      <c r="T20" s="51"/>
      <c r="U20" s="48"/>
      <c r="V20" s="49"/>
      <c r="W20" s="51"/>
      <c r="X20" s="51"/>
      <c r="Y20" s="51"/>
      <c r="Z20" s="51"/>
      <c r="AA20" s="51"/>
      <c r="AB20" s="48"/>
      <c r="AC20" s="49"/>
      <c r="AD20" s="51"/>
      <c r="AE20" s="51"/>
      <c r="AF20" s="48"/>
      <c r="AG20" s="49"/>
      <c r="AH20" s="51"/>
      <c r="AI20" s="51"/>
      <c r="AJ20" s="48"/>
      <c r="AK20" s="49"/>
      <c r="AL20" s="51"/>
      <c r="AM20" s="51"/>
      <c r="AN20" s="51"/>
      <c r="AO20" s="51"/>
      <c r="AP20" s="48"/>
      <c r="AQ20" s="49"/>
      <c r="AR20" s="51"/>
      <c r="AS20" s="51"/>
      <c r="AT20" s="51"/>
      <c r="AU20" s="51"/>
      <c r="AV20" s="51"/>
      <c r="AW20" s="48"/>
      <c r="AX20" s="49"/>
      <c r="AY20" s="51"/>
      <c r="AZ20" s="51"/>
      <c r="BA20" s="48"/>
      <c r="BB20" s="49"/>
      <c r="BC20" s="29"/>
      <c r="BD20" s="29"/>
      <c r="BE20" s="48"/>
      <c r="BF20" s="49"/>
      <c r="BG20" s="29"/>
      <c r="BH20" s="29"/>
      <c r="BI20" s="29"/>
      <c r="BJ20" s="29"/>
      <c r="BK20" s="29"/>
      <c r="BL20" s="48"/>
      <c r="BM20" s="49"/>
      <c r="BN20" s="29"/>
      <c r="BO20" s="29"/>
      <c r="BP20" s="29"/>
      <c r="BQ20" s="29"/>
      <c r="BR20" s="29"/>
      <c r="BS20" s="48"/>
      <c r="BT20" s="29"/>
      <c r="BU20" s="29"/>
      <c r="BV20" s="29"/>
      <c r="BW20" s="48"/>
      <c r="BX20" s="49"/>
      <c r="BY20" s="51"/>
      <c r="BZ20" s="51"/>
      <c r="CA20" s="28"/>
      <c r="CB20" s="29"/>
      <c r="CC20" s="51"/>
      <c r="CD20" s="51"/>
      <c r="CE20" s="51"/>
      <c r="CF20" s="51"/>
      <c r="CG20" s="48"/>
      <c r="CH20" s="49"/>
      <c r="CI20" s="51"/>
      <c r="CJ20" s="51"/>
      <c r="CK20" s="48"/>
      <c r="CL20" s="49"/>
      <c r="CM20" s="51"/>
      <c r="CN20" s="51"/>
      <c r="CO20" s="51"/>
      <c r="CP20" s="51"/>
      <c r="CQ20" s="51"/>
      <c r="CR20" s="48"/>
      <c r="CS20" s="49"/>
      <c r="CT20" s="51"/>
      <c r="CU20" s="51"/>
      <c r="CV20" s="48"/>
      <c r="CW20" s="49"/>
      <c r="CX20" s="51"/>
      <c r="CY20" s="51"/>
      <c r="CZ20" s="51"/>
      <c r="DA20" s="51"/>
      <c r="DB20" s="28"/>
      <c r="DC20" s="29"/>
      <c r="DD20" s="51"/>
      <c r="DE20" s="51"/>
      <c r="DF20" s="28"/>
      <c r="DG20" s="29"/>
      <c r="DH20" s="51"/>
      <c r="DI20" s="51"/>
      <c r="DJ20" s="51"/>
      <c r="DK20" s="51"/>
      <c r="DL20" s="51"/>
      <c r="DM20" s="48"/>
      <c r="DN20" s="49"/>
      <c r="DO20" s="51"/>
      <c r="DP20" s="51"/>
      <c r="DQ20" s="51"/>
      <c r="DR20" s="51"/>
      <c r="DS20" s="51"/>
      <c r="DT20" s="48"/>
      <c r="DU20" s="49"/>
      <c r="DV20" s="51"/>
      <c r="DW20" s="51"/>
      <c r="DX20" s="48"/>
      <c r="DY20" s="49"/>
      <c r="DZ20" s="51"/>
      <c r="EA20" s="51"/>
      <c r="EB20" s="48"/>
      <c r="EC20" s="49"/>
      <c r="ED20" s="51"/>
      <c r="EE20" s="51"/>
      <c r="EF20" s="48"/>
      <c r="EG20" s="49"/>
      <c r="EH20" s="51"/>
      <c r="EI20" s="51"/>
      <c r="EJ20" s="48"/>
      <c r="EK20" s="49"/>
      <c r="EL20" s="51"/>
      <c r="EM20" s="51"/>
      <c r="EN20" s="48"/>
      <c r="EO20" s="49"/>
      <c r="EP20" s="51"/>
      <c r="EQ20" s="51"/>
      <c r="ER20" s="52"/>
      <c r="ES20" s="53"/>
      <c r="ET20" s="51"/>
      <c r="EU20" s="51"/>
      <c r="EV20" s="52"/>
      <c r="EW20" s="53"/>
      <c r="EX20" s="51"/>
      <c r="EY20" s="51"/>
      <c r="EZ20" s="52"/>
      <c r="FA20" s="53"/>
      <c r="FB20" s="51"/>
      <c r="FC20" s="51"/>
      <c r="FD20" s="52"/>
      <c r="FE20" s="53"/>
      <c r="FF20" s="51"/>
      <c r="FG20" s="51"/>
      <c r="FH20" s="52"/>
      <c r="FI20" s="53"/>
      <c r="FJ20" s="51"/>
      <c r="FK20" s="51"/>
      <c r="FL20" s="52"/>
      <c r="FM20" s="53"/>
      <c r="FN20" s="51"/>
      <c r="FO20" s="51"/>
      <c r="FP20" s="52"/>
      <c r="FQ20" s="53"/>
      <c r="FR20" s="51"/>
      <c r="FS20" s="51"/>
      <c r="FT20" s="52"/>
      <c r="FU20" s="53"/>
      <c r="FV20" s="51"/>
      <c r="FW20" s="51"/>
      <c r="FX20" s="52"/>
      <c r="FY20" s="53"/>
      <c r="FZ20" s="51"/>
      <c r="GA20" s="51"/>
      <c r="GB20" s="52"/>
      <c r="GC20" s="53"/>
      <c r="GD20" s="51"/>
      <c r="GE20" s="51"/>
      <c r="GF20" s="52"/>
      <c r="GG20" s="53"/>
      <c r="GH20" s="51"/>
      <c r="GI20" s="51"/>
      <c r="GJ20" s="52"/>
      <c r="GK20" s="53"/>
      <c r="GL20" s="51"/>
      <c r="GM20" s="51"/>
      <c r="GN20" s="52"/>
      <c r="GO20" s="53"/>
      <c r="GP20" s="51"/>
      <c r="GQ20" s="51"/>
      <c r="GR20" s="52"/>
      <c r="GS20" s="53"/>
      <c r="GT20" s="51"/>
      <c r="GU20" s="51"/>
      <c r="GV20" s="52"/>
      <c r="GW20" s="53"/>
      <c r="GX20" s="51"/>
      <c r="GY20" s="51"/>
      <c r="GZ20" s="52"/>
      <c r="HA20" s="53"/>
      <c r="HB20" s="51"/>
      <c r="HC20" s="51"/>
      <c r="HD20" s="52"/>
      <c r="HE20" s="53"/>
      <c r="HF20" s="51"/>
      <c r="HG20" s="51"/>
      <c r="HH20" s="51"/>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54" customFormat="1" x14ac:dyDescent="0.2">
      <c r="A21" s="69"/>
      <c r="B21" s="33" t="s">
        <v>130</v>
      </c>
      <c r="C21" s="48"/>
      <c r="D21" s="49"/>
      <c r="E21" s="50">
        <f>E9+E14-E19</f>
        <v>1769.0419999999995</v>
      </c>
      <c r="F21" s="50">
        <f>F9+F14-F19</f>
        <v>1984.8800000000015</v>
      </c>
      <c r="G21" s="50">
        <f>G9+G14-G19</f>
        <v>1346.5330000000004</v>
      </c>
      <c r="H21" s="50">
        <f>H9+H14-H19</f>
        <v>846.66599999999971</v>
      </c>
      <c r="I21" s="50"/>
      <c r="J21" s="48"/>
      <c r="K21" s="49"/>
      <c r="L21" s="51">
        <f>L9+L14-L19</f>
        <v>-223.13099999999997</v>
      </c>
      <c r="M21" s="51">
        <f>M9+M14-M19</f>
        <v>-31</v>
      </c>
      <c r="N21" s="48"/>
      <c r="O21" s="49"/>
      <c r="P21" s="51">
        <f>P9+P14-P19</f>
        <v>512.93499999999995</v>
      </c>
      <c r="Q21" s="51">
        <f>Q9+Q14-Q19</f>
        <v>377.33600000000001</v>
      </c>
      <c r="R21" s="50">
        <f>R9+R14-R19</f>
        <v>259.97700000000009</v>
      </c>
      <c r="S21" s="51">
        <f>S9+S14-S19</f>
        <v>445.34199999999942</v>
      </c>
      <c r="T21" s="51"/>
      <c r="U21" s="48"/>
      <c r="V21" s="49"/>
      <c r="W21" s="51">
        <f>W9+W14-W19</f>
        <v>1000.7919999999998</v>
      </c>
      <c r="X21" s="51">
        <f>X9+X14-X19</f>
        <v>204.17700000000013</v>
      </c>
      <c r="Y21" s="51">
        <f>Y9+Y14-Y19</f>
        <v>628.52799999999957</v>
      </c>
      <c r="Z21" s="51">
        <f>Z9+Z14-Z19</f>
        <v>589.02099999999996</v>
      </c>
      <c r="AA21" s="51"/>
      <c r="AB21" s="48"/>
      <c r="AC21" s="49"/>
      <c r="AD21" s="51">
        <f>AD9+AD14-AD19</f>
        <v>1085.0430000000001</v>
      </c>
      <c r="AE21" s="51">
        <f>AE9+AE14-AE19</f>
        <v>826.3149999999996</v>
      </c>
      <c r="AF21" s="48"/>
      <c r="AG21" s="49"/>
      <c r="AH21" s="51">
        <f>AH9+AH14-AH19</f>
        <v>436.95699999999988</v>
      </c>
      <c r="AI21" s="51">
        <f>AI9+AI14-AI19</f>
        <v>128.65200000000004</v>
      </c>
      <c r="AJ21" s="48"/>
      <c r="AK21" s="49"/>
      <c r="AL21" s="51">
        <f>AL9+AL14-AL19</f>
        <v>32.466999999999985</v>
      </c>
      <c r="AM21" s="51">
        <f>AM9+AM14-AM19</f>
        <v>113.75</v>
      </c>
      <c r="AN21" s="51">
        <f>AN9+AN14-AN19</f>
        <v>-116.84099999999998</v>
      </c>
      <c r="AO21" s="51"/>
      <c r="AP21" s="48"/>
      <c r="AQ21" s="49"/>
      <c r="AR21" s="51">
        <f>AR9+AR14-AR19</f>
        <v>967.34799999999996</v>
      </c>
      <c r="AS21" s="51">
        <f>AS9+AS14-AS19</f>
        <v>723.06500000000005</v>
      </c>
      <c r="AT21" s="51">
        <f>AT9+AT14-AT19</f>
        <v>470.6869999999999</v>
      </c>
      <c r="AU21" s="51">
        <f>AU9+AU14-AU19</f>
        <v>510.33800000000008</v>
      </c>
      <c r="AV21" s="51"/>
      <c r="AW21" s="48"/>
      <c r="AX21" s="49"/>
      <c r="AY21" s="51">
        <f>AY9+AY14-AY19</f>
        <v>175</v>
      </c>
      <c r="AZ21" s="51">
        <f>AZ9+AZ14-AZ19</f>
        <v>319</v>
      </c>
      <c r="BA21" s="48"/>
      <c r="BB21" s="49"/>
      <c r="BC21" s="29">
        <f>BC9+BC14-BC19</f>
        <v>2587.1159999999982</v>
      </c>
      <c r="BD21" s="29">
        <f>BD9+BD14-BD19</f>
        <v>2377.2160000000003</v>
      </c>
      <c r="BE21" s="48"/>
      <c r="BF21" s="49"/>
      <c r="BG21" s="29">
        <f>BG9+BG14-BG19</f>
        <v>19639</v>
      </c>
      <c r="BH21" s="29">
        <f>BH9+BH14-BH19</f>
        <v>14734</v>
      </c>
      <c r="BI21" s="29">
        <f>BI9+BI14-BI19</f>
        <v>6001</v>
      </c>
      <c r="BJ21" s="29">
        <f>BJ9+BJ14-BJ19</f>
        <v>-101</v>
      </c>
      <c r="BK21" s="29"/>
      <c r="BL21" s="48"/>
      <c r="BM21" s="49"/>
      <c r="BN21" s="29">
        <f>BN9+BN14-BN19</f>
        <v>469.23199999999997</v>
      </c>
      <c r="BO21" s="29">
        <f>BO9+BO14-BO19</f>
        <v>2752.59</v>
      </c>
      <c r="BP21" s="29">
        <f>BP9+BP14-BP19</f>
        <v>1330.1929999999993</v>
      </c>
      <c r="BQ21" s="29">
        <f>BQ9+BQ14-BQ19</f>
        <v>1956.4880000000003</v>
      </c>
      <c r="BR21" s="29"/>
      <c r="BS21" s="48"/>
      <c r="BT21" s="29"/>
      <c r="BU21" s="29">
        <f>BU9+BU14-BU19</f>
        <v>121.14400000000003</v>
      </c>
      <c r="BV21" s="29">
        <f>BV9+BV14-BV19</f>
        <v>34.164999999999992</v>
      </c>
      <c r="BW21" s="48"/>
      <c r="BX21" s="49"/>
      <c r="BY21" s="29">
        <f>BY9+BY14-BY19</f>
        <v>3687</v>
      </c>
      <c r="BZ21" s="29">
        <f>BZ9+BZ14-BZ19</f>
        <v>2508</v>
      </c>
      <c r="CA21" s="28"/>
      <c r="CB21" s="29"/>
      <c r="CC21" s="51">
        <f>CC9+CC14-CC19</f>
        <v>1855.1920000000009</v>
      </c>
      <c r="CD21" s="51">
        <f>CD9+CD14-CD19</f>
        <v>379.16599999999971</v>
      </c>
      <c r="CE21" s="51">
        <f>CE9+CE14-CE19</f>
        <v>233.80799999999977</v>
      </c>
      <c r="CF21" s="51"/>
      <c r="CG21" s="48"/>
      <c r="CH21" s="49"/>
      <c r="CI21" s="51">
        <f>CI9+CI14-CI19</f>
        <v>2483</v>
      </c>
      <c r="CJ21" s="51">
        <f>CJ9+CJ14-CJ19</f>
        <v>2068</v>
      </c>
      <c r="CK21" s="48"/>
      <c r="CL21" s="49"/>
      <c r="CM21" s="51">
        <f>CM9+CM14-CM19</f>
        <v>216.22000000000003</v>
      </c>
      <c r="CN21" s="51">
        <f>CN9+CN14-CN19</f>
        <v>183.76599999999996</v>
      </c>
      <c r="CO21" s="51"/>
      <c r="CP21" s="51"/>
      <c r="CQ21" s="51"/>
      <c r="CR21" s="48"/>
      <c r="CS21" s="49"/>
      <c r="CT21" s="51">
        <f>CT9+CT14-CT19</f>
        <v>-222.35800000000006</v>
      </c>
      <c r="CU21" s="51">
        <f>CU9+CU14-CU19</f>
        <v>12.588000000000079</v>
      </c>
      <c r="CV21" s="28"/>
      <c r="CW21" s="29"/>
      <c r="CX21" s="51">
        <f>CX9+CX14-CX19</f>
        <v>206.26999999999998</v>
      </c>
      <c r="CY21" s="51">
        <f>CY9+CY14-CY19</f>
        <v>133.65899999999999</v>
      </c>
      <c r="CZ21" s="51"/>
      <c r="DA21" s="51"/>
      <c r="DB21" s="28"/>
      <c r="DC21" s="29"/>
      <c r="DD21" s="51">
        <f>DD9+DD14-DD19</f>
        <v>1591.4349999999997</v>
      </c>
      <c r="DE21" s="51">
        <f>DE9+DE14-DE19</f>
        <v>1607.1070000000004</v>
      </c>
      <c r="DF21" s="28"/>
      <c r="DG21" s="29"/>
      <c r="DH21" s="51">
        <f>DH9+DH14-DH19</f>
        <v>21243.807999999997</v>
      </c>
      <c r="DI21" s="51">
        <f>DI9+DI14-DI19</f>
        <v>15506.553</v>
      </c>
      <c r="DJ21" s="51"/>
      <c r="DK21" s="51"/>
      <c r="DL21" s="51"/>
      <c r="DM21" s="48"/>
      <c r="DN21" s="49"/>
      <c r="DO21" s="51">
        <f>DO9+DO14-DO19</f>
        <v>4688</v>
      </c>
      <c r="DP21" s="51">
        <f>DP9+DP14-DP19</f>
        <v>4158</v>
      </c>
      <c r="DQ21" s="51"/>
      <c r="DR21" s="51"/>
      <c r="DS21" s="51"/>
      <c r="DT21" s="48"/>
      <c r="DU21" s="49"/>
      <c r="DV21" s="51">
        <f>DV9+DV14-DV19</f>
        <v>-135.11599999999999</v>
      </c>
      <c r="DW21" s="51">
        <f>DW9+DW14-DW19</f>
        <v>186.32899999999995</v>
      </c>
      <c r="DX21" s="48"/>
      <c r="DY21" s="49"/>
      <c r="DZ21" s="51">
        <f>DZ9+DZ14-DZ19</f>
        <v>26235</v>
      </c>
      <c r="EA21" s="51">
        <f>EA9+EA14-EA19</f>
        <v>24724</v>
      </c>
      <c r="EB21" s="48"/>
      <c r="EC21" s="49"/>
      <c r="ED21" s="51">
        <f>ED9+ED14-ED19</f>
        <v>8517.3330000000005</v>
      </c>
      <c r="EE21" s="51">
        <f>EE9+EE14-EE19</f>
        <v>6351.0640000000012</v>
      </c>
      <c r="EF21" s="48"/>
      <c r="EG21" s="49"/>
      <c r="EH21" s="51">
        <f>EH9+EH14-EH19</f>
        <v>114.99000000000001</v>
      </c>
      <c r="EI21" s="51">
        <f>EI9+EI14-EI19</f>
        <v>151.38900000000004</v>
      </c>
      <c r="EJ21" s="48"/>
      <c r="EK21" s="49"/>
      <c r="EL21" s="51">
        <f>EL9+EL14-EL19</f>
        <v>-858</v>
      </c>
      <c r="EM21" s="51">
        <f>EM9+EM14-EM19</f>
        <v>1616</v>
      </c>
      <c r="EN21" s="48"/>
      <c r="EO21" s="49"/>
      <c r="EP21" s="51">
        <f>EP9+EP14-EP19</f>
        <v>1067.8609999999999</v>
      </c>
      <c r="EQ21" s="51">
        <f>EQ9+EQ14-EQ19</f>
        <v>705.26800000000003</v>
      </c>
      <c r="ER21" s="52"/>
      <c r="ES21" s="53"/>
      <c r="ET21" s="51">
        <f>ET9+ET14-ET19</f>
        <v>350.41200000000026</v>
      </c>
      <c r="EU21" s="51">
        <f>EU9+EU14-EU19</f>
        <v>244.84599999999955</v>
      </c>
      <c r="EV21" s="52"/>
      <c r="EW21" s="53"/>
      <c r="EX21" s="51">
        <f>EX9+EX14-EX19</f>
        <v>87.058999999999969</v>
      </c>
      <c r="EY21" s="51"/>
      <c r="EZ21" s="52"/>
      <c r="FA21" s="53"/>
      <c r="FB21" s="51">
        <f>FB9+FB14-FB19</f>
        <v>36.600999999999999</v>
      </c>
      <c r="FC21" s="51">
        <f>FC9+FC14-FC19</f>
        <v>-33.228000000000037</v>
      </c>
      <c r="FD21" s="52"/>
      <c r="FE21" s="53"/>
      <c r="FF21" s="51">
        <f>FF9+FF14-FF19</f>
        <v>6478</v>
      </c>
      <c r="FG21" s="51">
        <f>FG9+FG14-FG19</f>
        <v>7134</v>
      </c>
      <c r="FH21" s="52"/>
      <c r="FI21" s="53"/>
      <c r="FJ21" s="51">
        <f>FJ9+FJ14-FJ19</f>
        <v>764.39400000000023</v>
      </c>
      <c r="FK21" s="51">
        <f>FK9+FK14-FK19</f>
        <v>191.52300000000014</v>
      </c>
      <c r="FL21" s="52"/>
      <c r="FM21" s="53"/>
      <c r="FN21" s="51">
        <f>FN9+FN14-FN19</f>
        <v>2139.1659999999947</v>
      </c>
      <c r="FO21" s="51">
        <f>FO9+FO14-FO19</f>
        <v>1265.9310000000007</v>
      </c>
      <c r="FP21" s="52"/>
      <c r="FQ21" s="53"/>
      <c r="FR21" s="51">
        <f>FR9+FR14-FR19</f>
        <v>957.23800000000028</v>
      </c>
      <c r="FS21" s="51">
        <f>FS9+FS14-FS19</f>
        <v>-30.9350000000004</v>
      </c>
      <c r="FT21" s="52"/>
      <c r="FU21" s="53"/>
      <c r="FV21" s="51">
        <f>FV9+FV14-FV19</f>
        <v>1096.7609999999997</v>
      </c>
      <c r="FW21" s="51">
        <f>FW9+FW14-FW19</f>
        <v>629.58000000000015</v>
      </c>
      <c r="FX21" s="52"/>
      <c r="FY21" s="53"/>
      <c r="FZ21" s="51">
        <f>FZ9+FZ14-FZ19</f>
        <v>4685</v>
      </c>
      <c r="GA21" s="51">
        <f>GA9+GA14-GA19</f>
        <v>-8692</v>
      </c>
      <c r="GB21" s="52"/>
      <c r="GC21" s="53"/>
      <c r="GD21" s="51">
        <f>GD9+GD14-GD19</f>
        <v>132.2650000000001</v>
      </c>
      <c r="GE21" s="51">
        <f>GE9+GE14-GE19</f>
        <v>66.464000000000055</v>
      </c>
      <c r="GF21" s="52"/>
      <c r="GG21" s="53"/>
      <c r="GH21" s="51">
        <f>GH9+GH14-GH19</f>
        <v>2208.4780000000028</v>
      </c>
      <c r="GI21" s="51">
        <f>GI9+GI14-GI19</f>
        <v>4615.0339999999997</v>
      </c>
      <c r="GJ21" s="52"/>
      <c r="GK21" s="53"/>
      <c r="GL21" s="51">
        <f>GL9+GL14-GL19</f>
        <v>-1894.3130000000001</v>
      </c>
      <c r="GM21" s="51">
        <f>GM9+GM14-GM19</f>
        <v>-1730.1690000000001</v>
      </c>
      <c r="GN21" s="52"/>
      <c r="GO21" s="53"/>
      <c r="GP21" s="51">
        <f>GP9+GP14-GP19</f>
        <v>-49405</v>
      </c>
      <c r="GQ21" s="51">
        <f>GQ9+GQ14-GQ19</f>
        <v>24435</v>
      </c>
      <c r="GR21" s="52"/>
      <c r="GS21" s="53"/>
      <c r="GT21" s="51">
        <f>GT9+GT14-GT19</f>
        <v>3</v>
      </c>
      <c r="GU21" s="51"/>
      <c r="GV21" s="52"/>
      <c r="GW21" s="53"/>
      <c r="GX21" s="51">
        <f>GX9+GX14-GX19</f>
        <v>906.904</v>
      </c>
      <c r="GY21" s="51">
        <f>GY9+GY14-GY19</f>
        <v>707.19899999999984</v>
      </c>
      <c r="GZ21" s="52"/>
      <c r="HA21" s="53"/>
      <c r="HB21" s="51">
        <f>HB9+HB14-HB19</f>
        <v>1368.0770000000011</v>
      </c>
      <c r="HC21" s="51"/>
      <c r="HD21" s="52"/>
      <c r="HE21" s="53"/>
      <c r="HF21" s="51">
        <f>HF9+HF14-HF19</f>
        <v>338.36700000000178</v>
      </c>
      <c r="HG21" s="51">
        <f>HG9+HG14-HG19</f>
        <v>261.59699999999765</v>
      </c>
      <c r="HH21" s="51">
        <f>HH9+HH14-HH19</f>
        <v>75.251000000001142</v>
      </c>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54" customFormat="1" ht="18" customHeight="1" x14ac:dyDescent="0.2">
      <c r="B22" s="33"/>
      <c r="C22" s="48"/>
      <c r="D22" s="49"/>
      <c r="E22" s="57"/>
      <c r="F22" s="57"/>
      <c r="G22" s="57"/>
      <c r="H22" s="57"/>
      <c r="I22" s="57"/>
      <c r="J22" s="48"/>
      <c r="K22" s="49"/>
      <c r="L22" s="56"/>
      <c r="M22" s="56"/>
      <c r="N22" s="48"/>
      <c r="O22" s="49"/>
      <c r="P22" s="56"/>
      <c r="Q22" s="56"/>
      <c r="R22" s="56"/>
      <c r="S22" s="56"/>
      <c r="T22" s="56"/>
      <c r="U22" s="48"/>
      <c r="V22" s="49"/>
      <c r="W22" s="56"/>
      <c r="X22" s="56"/>
      <c r="Y22" s="56"/>
      <c r="Z22" s="56"/>
      <c r="AA22" s="56"/>
      <c r="AB22" s="48"/>
      <c r="AC22" s="49"/>
      <c r="AD22" s="56"/>
      <c r="AE22" s="56"/>
      <c r="AF22" s="48"/>
      <c r="AG22" s="49"/>
      <c r="AH22" s="56"/>
      <c r="AI22" s="56"/>
      <c r="AJ22" s="48"/>
      <c r="AK22" s="49"/>
      <c r="AL22" s="56"/>
      <c r="AM22" s="56"/>
      <c r="AN22" s="56"/>
      <c r="AO22" s="56"/>
      <c r="AP22" s="48"/>
      <c r="AQ22" s="49"/>
      <c r="AR22" s="56"/>
      <c r="AS22" s="56"/>
      <c r="AT22" s="56"/>
      <c r="AU22" s="56"/>
      <c r="AV22" s="56"/>
      <c r="AW22" s="48"/>
      <c r="AX22" s="49"/>
      <c r="AY22" s="56"/>
      <c r="AZ22" s="56"/>
      <c r="BA22" s="48"/>
      <c r="BB22" s="49"/>
      <c r="BC22" s="49"/>
      <c r="BD22" s="49"/>
      <c r="BE22" s="48"/>
      <c r="BF22" s="49"/>
      <c r="BG22" s="49"/>
      <c r="BH22" s="49"/>
      <c r="BI22" s="49"/>
      <c r="BJ22" s="49"/>
      <c r="BK22" s="49"/>
      <c r="BL22" s="48"/>
      <c r="BM22" s="49"/>
      <c r="BN22" s="49"/>
      <c r="BO22" s="49"/>
      <c r="BP22" s="49"/>
      <c r="BQ22" s="49"/>
      <c r="BR22" s="49"/>
      <c r="BS22" s="48"/>
      <c r="BT22" s="49"/>
      <c r="BU22" s="49"/>
      <c r="BV22" s="49"/>
      <c r="BW22" s="48"/>
      <c r="BX22" s="49"/>
      <c r="BY22" s="56"/>
      <c r="BZ22" s="56"/>
      <c r="CA22" s="48"/>
      <c r="CB22" s="49"/>
      <c r="CC22" s="56"/>
      <c r="CD22" s="56"/>
      <c r="CE22" s="56"/>
      <c r="CF22" s="56"/>
      <c r="CG22" s="48"/>
      <c r="CH22" s="49"/>
      <c r="CI22" s="56"/>
      <c r="CJ22" s="56"/>
      <c r="CK22" s="48"/>
      <c r="CL22" s="49"/>
      <c r="CM22" s="56"/>
      <c r="CN22" s="56"/>
      <c r="CO22" s="56"/>
      <c r="CP22" s="56"/>
      <c r="CQ22" s="56"/>
      <c r="CR22" s="48"/>
      <c r="CS22" s="49"/>
      <c r="CT22" s="56"/>
      <c r="CU22" s="56"/>
      <c r="CV22" s="48"/>
      <c r="CW22" s="49"/>
      <c r="CX22" s="56"/>
      <c r="CY22" s="56"/>
      <c r="CZ22" s="56"/>
      <c r="DA22" s="56"/>
      <c r="DB22" s="28"/>
      <c r="DC22" s="29"/>
      <c r="DD22" s="56"/>
      <c r="DE22" s="56"/>
      <c r="DF22" s="28"/>
      <c r="DG22" s="29"/>
      <c r="DH22" s="56"/>
      <c r="DI22" s="56"/>
      <c r="DJ22" s="56"/>
      <c r="DK22" s="56"/>
      <c r="DL22" s="56"/>
      <c r="DM22" s="48"/>
      <c r="DN22" s="49"/>
      <c r="DO22" s="56"/>
      <c r="DP22" s="56"/>
      <c r="DQ22" s="56"/>
      <c r="DR22" s="56"/>
      <c r="DS22" s="56"/>
      <c r="DT22" s="48"/>
      <c r="DU22" s="49"/>
      <c r="DV22" s="56"/>
      <c r="DW22" s="56"/>
      <c r="DX22" s="48"/>
      <c r="DY22" s="49"/>
      <c r="DZ22" s="56"/>
      <c r="EA22" s="56"/>
      <c r="EB22" s="48"/>
      <c r="EC22" s="49"/>
      <c r="ED22" s="56"/>
      <c r="EE22" s="56"/>
      <c r="EF22" s="48"/>
      <c r="EG22" s="49"/>
      <c r="EH22" s="56"/>
      <c r="EI22" s="56"/>
      <c r="EJ22" s="48"/>
      <c r="EK22" s="49"/>
      <c r="EL22" s="56"/>
      <c r="EM22" s="56"/>
      <c r="EN22" s="48"/>
      <c r="EO22" s="49"/>
      <c r="EP22" s="56"/>
      <c r="EQ22" s="56"/>
      <c r="ER22" s="52"/>
      <c r="ES22" s="53"/>
      <c r="ET22" s="56"/>
      <c r="EU22" s="56"/>
      <c r="EV22" s="52"/>
      <c r="EW22" s="53"/>
      <c r="EX22" s="56"/>
      <c r="EY22" s="56"/>
      <c r="EZ22" s="52"/>
      <c r="FA22" s="53"/>
      <c r="FB22" s="56"/>
      <c r="FC22" s="56"/>
      <c r="FD22" s="52"/>
      <c r="FE22" s="53"/>
      <c r="FF22" s="56"/>
      <c r="FG22" s="56"/>
      <c r="FH22" s="52"/>
      <c r="FI22" s="53"/>
      <c r="FJ22" s="56"/>
      <c r="FK22" s="56"/>
      <c r="FL22" s="52"/>
      <c r="FM22" s="53"/>
      <c r="FN22" s="56"/>
      <c r="FO22" s="56"/>
      <c r="FP22" s="52"/>
      <c r="FQ22" s="53"/>
      <c r="FR22" s="56"/>
      <c r="FS22" s="56"/>
      <c r="FT22" s="52"/>
      <c r="FU22" s="53"/>
      <c r="FV22" s="56"/>
      <c r="FW22" s="56"/>
      <c r="FX22" s="52"/>
      <c r="FY22" s="53"/>
      <c r="FZ22" s="56"/>
      <c r="GA22" s="56"/>
      <c r="GB22" s="52"/>
      <c r="GC22" s="53"/>
      <c r="GD22" s="56"/>
      <c r="GE22" s="56"/>
      <c r="GF22" s="52"/>
      <c r="GG22" s="53"/>
      <c r="GH22" s="56"/>
      <c r="GI22" s="56"/>
      <c r="GJ22" s="52"/>
      <c r="GK22" s="53"/>
      <c r="GL22" s="56"/>
      <c r="GM22" s="56"/>
      <c r="GN22" s="52"/>
      <c r="GO22" s="53"/>
      <c r="GP22" s="56"/>
      <c r="GQ22" s="56"/>
      <c r="GR22" s="52"/>
      <c r="GS22" s="53"/>
      <c r="GT22" s="56"/>
      <c r="GU22" s="56"/>
      <c r="GV22" s="52"/>
      <c r="GW22" s="53"/>
      <c r="GX22" s="56"/>
      <c r="GY22" s="56"/>
      <c r="GZ22" s="52"/>
      <c r="HA22" s="53"/>
      <c r="HB22" s="56"/>
      <c r="HC22" s="56"/>
      <c r="HD22" s="52"/>
      <c r="HE22" s="53"/>
      <c r="HF22" s="56"/>
      <c r="HG22" s="56"/>
      <c r="HH22" s="56"/>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38" customFormat="1" x14ac:dyDescent="0.2">
      <c r="B23" s="39" t="s">
        <v>131</v>
      </c>
      <c r="C23" s="40"/>
      <c r="D23" s="41"/>
      <c r="E23" s="42">
        <v>630.33900000000006</v>
      </c>
      <c r="F23" s="42">
        <v>712.64</v>
      </c>
      <c r="G23" s="42">
        <v>511.94900000000001</v>
      </c>
      <c r="H23" s="42">
        <v>244.24700000000001</v>
      </c>
      <c r="I23" s="42"/>
      <c r="J23" s="40"/>
      <c r="K23" s="41"/>
      <c r="L23" s="43">
        <v>0</v>
      </c>
      <c r="M23" s="43">
        <v>20</v>
      </c>
      <c r="N23" s="40"/>
      <c r="O23" s="41"/>
      <c r="P23" s="43">
        <v>169.25800000000001</v>
      </c>
      <c r="Q23" s="43">
        <v>118.124</v>
      </c>
      <c r="R23" s="43">
        <v>81.783000000000001</v>
      </c>
      <c r="S23" s="43">
        <v>153.28100000000001</v>
      </c>
      <c r="T23" s="43"/>
      <c r="U23" s="40"/>
      <c r="V23" s="41"/>
      <c r="W23" s="43">
        <v>336.94900000000001</v>
      </c>
      <c r="X23" s="43">
        <v>49.616</v>
      </c>
      <c r="Y23" s="43">
        <v>226.047</v>
      </c>
      <c r="Z23" s="43">
        <v>194.554</v>
      </c>
      <c r="AA23" s="43"/>
      <c r="AB23" s="40"/>
      <c r="AC23" s="41"/>
      <c r="AD23" s="43">
        <f>371.133-15.083</f>
        <v>356.04999999999995</v>
      </c>
      <c r="AE23" s="43">
        <f>330.308-82.946</f>
        <v>247.36199999999999</v>
      </c>
      <c r="AF23" s="40"/>
      <c r="AG23" s="41"/>
      <c r="AH23" s="43">
        <v>169.37899999999999</v>
      </c>
      <c r="AI23" s="43">
        <v>-2.2029999999999998</v>
      </c>
      <c r="AJ23" s="40"/>
      <c r="AK23" s="41"/>
      <c r="AL23" s="43">
        <v>12.412000000000001</v>
      </c>
      <c r="AM23" s="43">
        <v>0</v>
      </c>
      <c r="AN23" s="43">
        <v>0</v>
      </c>
      <c r="AO23" s="43"/>
      <c r="AP23" s="40"/>
      <c r="AQ23" s="41"/>
      <c r="AR23" s="43">
        <v>300.267</v>
      </c>
      <c r="AS23" s="43">
        <f>226.823-0.073</f>
        <v>226.75</v>
      </c>
      <c r="AT23" s="43">
        <v>189.39599999999999</v>
      </c>
      <c r="AU23" s="43">
        <v>183.93899999999999</v>
      </c>
      <c r="AV23" s="43"/>
      <c r="AW23" s="40"/>
      <c r="AX23" s="41"/>
      <c r="AY23" s="43">
        <v>0</v>
      </c>
      <c r="AZ23" s="43">
        <v>0</v>
      </c>
      <c r="BA23" s="40"/>
      <c r="BB23" s="41"/>
      <c r="BC23" s="41">
        <v>1042.546</v>
      </c>
      <c r="BD23" s="41">
        <v>789.00400000000002</v>
      </c>
      <c r="BE23" s="40"/>
      <c r="BF23" s="41"/>
      <c r="BG23" s="41">
        <v>7023</v>
      </c>
      <c r="BH23" s="41">
        <v>756</v>
      </c>
      <c r="BI23" s="41">
        <v>2003</v>
      </c>
      <c r="BJ23" s="41">
        <v>100</v>
      </c>
      <c r="BK23" s="41"/>
      <c r="BL23" s="40"/>
      <c r="BM23" s="41"/>
      <c r="BN23" s="41">
        <v>163.13499999999999</v>
      </c>
      <c r="BO23" s="41">
        <v>290.678</v>
      </c>
      <c r="BP23" s="41">
        <v>440.90899999999999</v>
      </c>
      <c r="BQ23" s="41">
        <v>647.57500000000005</v>
      </c>
      <c r="BR23" s="41"/>
      <c r="BS23" s="40"/>
      <c r="BT23" s="41"/>
      <c r="BU23" s="41">
        <v>48.26</v>
      </c>
      <c r="BV23" s="41">
        <v>11.263999999999999</v>
      </c>
      <c r="BW23" s="40"/>
      <c r="BX23" s="41"/>
      <c r="BY23" s="43">
        <v>1218</v>
      </c>
      <c r="BZ23" s="43">
        <v>830</v>
      </c>
      <c r="CA23" s="40"/>
      <c r="CB23" s="41"/>
      <c r="CC23" s="43">
        <v>551.73500000000001</v>
      </c>
      <c r="CD23" s="43">
        <v>125.34</v>
      </c>
      <c r="CE23" s="43">
        <v>77.372</v>
      </c>
      <c r="CF23" s="43"/>
      <c r="CG23" s="40"/>
      <c r="CH23" s="41"/>
      <c r="CI23" s="43">
        <v>819</v>
      </c>
      <c r="CJ23" s="43">
        <v>683</v>
      </c>
      <c r="CK23" s="40"/>
      <c r="CL23" s="41"/>
      <c r="CM23" s="43">
        <v>71.418000000000006</v>
      </c>
      <c r="CN23" s="43">
        <v>60.643000000000001</v>
      </c>
      <c r="CO23" s="43"/>
      <c r="CP23" s="43"/>
      <c r="CQ23" s="43"/>
      <c r="CR23" s="40"/>
      <c r="CS23" s="41"/>
      <c r="CT23" s="43">
        <v>0</v>
      </c>
      <c r="CU23" s="43">
        <v>23.49</v>
      </c>
      <c r="CV23" s="40"/>
      <c r="CW23" s="41"/>
      <c r="CX23" s="43">
        <v>52.026000000000003</v>
      </c>
      <c r="CY23" s="43">
        <v>48.389000000000003</v>
      </c>
      <c r="CZ23" s="43"/>
      <c r="DA23" s="43"/>
      <c r="DB23" s="44"/>
      <c r="DC23" s="45"/>
      <c r="DD23" s="43">
        <v>0</v>
      </c>
      <c r="DE23" s="43">
        <v>0</v>
      </c>
      <c r="DF23" s="44"/>
      <c r="DG23" s="45"/>
      <c r="DH23" s="43">
        <v>2724.9369999999999</v>
      </c>
      <c r="DI23" s="43">
        <v>1980.047</v>
      </c>
      <c r="DJ23" s="43"/>
      <c r="DK23" s="43"/>
      <c r="DL23" s="43"/>
      <c r="DM23" s="40"/>
      <c r="DN23" s="41"/>
      <c r="DO23" s="43">
        <f>155</f>
        <v>155</v>
      </c>
      <c r="DP23" s="43">
        <v>120</v>
      </c>
      <c r="DQ23" s="43"/>
      <c r="DR23" s="43"/>
      <c r="DS23" s="43"/>
      <c r="DT23" s="40"/>
      <c r="DU23" s="41"/>
      <c r="DV23" s="43">
        <v>-43.701999999999998</v>
      </c>
      <c r="DW23" s="43">
        <v>62.79</v>
      </c>
      <c r="DX23" s="40"/>
      <c r="DY23" s="41"/>
      <c r="DZ23" s="43">
        <v>4068</v>
      </c>
      <c r="EA23" s="43">
        <v>5107</v>
      </c>
      <c r="EB23" s="40"/>
      <c r="EC23" s="41"/>
      <c r="ED23" s="43">
        <v>2013.337</v>
      </c>
      <c r="EE23" s="43">
        <v>1636.7280000000001</v>
      </c>
      <c r="EF23" s="40"/>
      <c r="EG23" s="41"/>
      <c r="EH23" s="43">
        <v>28.527000000000001</v>
      </c>
      <c r="EI23" s="43">
        <v>0</v>
      </c>
      <c r="EJ23" s="40"/>
      <c r="EK23" s="41"/>
      <c r="EL23" s="43">
        <v>-347</v>
      </c>
      <c r="EM23" s="43">
        <f>1250</f>
        <v>1250</v>
      </c>
      <c r="EN23" s="40"/>
      <c r="EO23" s="41"/>
      <c r="EP23" s="43">
        <v>350.04300000000001</v>
      </c>
      <c r="EQ23" s="43">
        <v>229.81700000000001</v>
      </c>
      <c r="ER23" s="46"/>
      <c r="ES23" s="47"/>
      <c r="ET23" s="43">
        <v>68.924999999999997</v>
      </c>
      <c r="EU23" s="43">
        <v>50.537999999999997</v>
      </c>
      <c r="EV23" s="46"/>
      <c r="EW23" s="47"/>
      <c r="EX23" s="43">
        <v>40.956000000000003</v>
      </c>
      <c r="EY23" s="43"/>
      <c r="EZ23" s="46"/>
      <c r="FA23" s="47"/>
      <c r="FB23" s="43">
        <v>3.7309999999999999</v>
      </c>
      <c r="FC23" s="43">
        <v>0</v>
      </c>
      <c r="FD23" s="46"/>
      <c r="FE23" s="47"/>
      <c r="FF23" s="43">
        <v>1513</v>
      </c>
      <c r="FG23" s="43">
        <v>1774</v>
      </c>
      <c r="FH23" s="46"/>
      <c r="FI23" s="47"/>
      <c r="FJ23" s="43">
        <v>151.42500000000001</v>
      </c>
      <c r="FK23" s="43">
        <v>97.215000000000003</v>
      </c>
      <c r="FL23" s="46"/>
      <c r="FM23" s="47"/>
      <c r="FN23" s="43">
        <v>747.49900000000002</v>
      </c>
      <c r="FO23" s="43">
        <v>417.75700000000001</v>
      </c>
      <c r="FP23" s="46"/>
      <c r="FQ23" s="47"/>
      <c r="FR23" s="43">
        <v>0</v>
      </c>
      <c r="FS23" s="43">
        <v>0</v>
      </c>
      <c r="FT23" s="46"/>
      <c r="FU23" s="47"/>
      <c r="FV23" s="43">
        <v>231.97800000000001</v>
      </c>
      <c r="FW23" s="43">
        <v>236.92599999999999</v>
      </c>
      <c r="FX23" s="46"/>
      <c r="FY23" s="47"/>
      <c r="FZ23" s="43">
        <v>620</v>
      </c>
      <c r="GA23" s="43">
        <v>-32</v>
      </c>
      <c r="GB23" s="46"/>
      <c r="GC23" s="47"/>
      <c r="GD23" s="43">
        <v>43.648000000000003</v>
      </c>
      <c r="GE23" s="43">
        <v>21.933</v>
      </c>
      <c r="GF23" s="46"/>
      <c r="GG23" s="47"/>
      <c r="GH23" s="43">
        <v>678.45799999999997</v>
      </c>
      <c r="GI23" s="43">
        <v>1536.8579999999999</v>
      </c>
      <c r="GJ23" s="46"/>
      <c r="GK23" s="47"/>
      <c r="GL23" s="43">
        <v>0</v>
      </c>
      <c r="GM23" s="43">
        <v>0</v>
      </c>
      <c r="GN23" s="46"/>
      <c r="GO23" s="47"/>
      <c r="GP23" s="43">
        <v>-9818</v>
      </c>
      <c r="GQ23" s="43">
        <v>8941</v>
      </c>
      <c r="GR23" s="46"/>
      <c r="GS23" s="47"/>
      <c r="GT23" s="43">
        <v>0</v>
      </c>
      <c r="GU23" s="43"/>
      <c r="GV23" s="46"/>
      <c r="GW23" s="47"/>
      <c r="GX23" s="43">
        <v>204.066</v>
      </c>
      <c r="GY23" s="43">
        <v>249.876</v>
      </c>
      <c r="GZ23" s="46"/>
      <c r="HA23" s="47"/>
      <c r="HB23" s="43">
        <v>-48.59</v>
      </c>
      <c r="HC23" s="43"/>
      <c r="HD23" s="46"/>
      <c r="HE23" s="47"/>
      <c r="HF23" s="43">
        <v>0</v>
      </c>
      <c r="HG23" s="43">
        <v>0</v>
      </c>
      <c r="HH23" s="43">
        <v>0</v>
      </c>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74" customFormat="1" x14ac:dyDescent="0.2">
      <c r="A24" s="13" t="s">
        <v>132</v>
      </c>
      <c r="B24" s="70"/>
      <c r="C24" s="48"/>
      <c r="D24" s="49"/>
      <c r="E24" s="71">
        <f>E21-E23</f>
        <v>1138.7029999999995</v>
      </c>
      <c r="F24" s="71">
        <f>F21-F23</f>
        <v>1272.2400000000016</v>
      </c>
      <c r="G24" s="71">
        <f>G21-G23</f>
        <v>834.58400000000029</v>
      </c>
      <c r="H24" s="71">
        <f>H21-H23</f>
        <v>602.41899999999964</v>
      </c>
      <c r="I24" s="71"/>
      <c r="J24" s="37"/>
      <c r="K24" s="36"/>
      <c r="L24" s="32">
        <f>L21-L23</f>
        <v>-223.13099999999997</v>
      </c>
      <c r="M24" s="32">
        <f>M21-M23</f>
        <v>-51</v>
      </c>
      <c r="N24" s="48"/>
      <c r="O24" s="49"/>
      <c r="P24" s="32">
        <f>P21-P23</f>
        <v>343.67699999999991</v>
      </c>
      <c r="Q24" s="32">
        <f>Q21-Q23</f>
        <v>259.21199999999999</v>
      </c>
      <c r="R24" s="32">
        <f>R21-R23</f>
        <v>178.19400000000007</v>
      </c>
      <c r="S24" s="32">
        <f>S21-S23</f>
        <v>292.06099999999941</v>
      </c>
      <c r="T24" s="32"/>
      <c r="U24" s="37"/>
      <c r="V24" s="36"/>
      <c r="W24" s="32">
        <f>W21-W23</f>
        <v>663.84299999999985</v>
      </c>
      <c r="X24" s="32">
        <f>X21-X23</f>
        <v>154.56100000000015</v>
      </c>
      <c r="Y24" s="32">
        <f>Y21-Y23</f>
        <v>402.48099999999954</v>
      </c>
      <c r="Z24" s="32">
        <f>Z21-Z23</f>
        <v>394.46699999999998</v>
      </c>
      <c r="AA24" s="32"/>
      <c r="AB24" s="37"/>
      <c r="AC24" s="36"/>
      <c r="AD24" s="32">
        <f>AD21-AD23</f>
        <v>728.99300000000017</v>
      </c>
      <c r="AE24" s="32">
        <f>AE21-AE23</f>
        <v>578.95299999999963</v>
      </c>
      <c r="AF24" s="37"/>
      <c r="AG24" s="36"/>
      <c r="AH24" s="32">
        <f>AH21-AH23</f>
        <v>267.57799999999986</v>
      </c>
      <c r="AI24" s="32">
        <f>AI21-AI23</f>
        <v>130.85500000000005</v>
      </c>
      <c r="AJ24" s="37"/>
      <c r="AK24" s="36"/>
      <c r="AL24" s="32">
        <f>AL21-AL23</f>
        <v>20.054999999999986</v>
      </c>
      <c r="AM24" s="32">
        <f>AM21-AM23</f>
        <v>113.75</v>
      </c>
      <c r="AN24" s="32">
        <f>AN21-AN23</f>
        <v>-116.84099999999998</v>
      </c>
      <c r="AO24" s="32"/>
      <c r="AP24" s="37"/>
      <c r="AQ24" s="36"/>
      <c r="AR24" s="32">
        <f>AR21-AR23</f>
        <v>667.0809999999999</v>
      </c>
      <c r="AS24" s="32">
        <f>AS21-AS23</f>
        <v>496.31500000000005</v>
      </c>
      <c r="AT24" s="32">
        <f>AT21-AT23</f>
        <v>281.29099999999994</v>
      </c>
      <c r="AU24" s="32">
        <f>AU21-AU23</f>
        <v>326.39900000000011</v>
      </c>
      <c r="AV24" s="32"/>
      <c r="AW24" s="37"/>
      <c r="AX24" s="36"/>
      <c r="AY24" s="32">
        <f>AY21-AY23</f>
        <v>175</v>
      </c>
      <c r="AZ24" s="32">
        <f>AZ21-AZ23</f>
        <v>319</v>
      </c>
      <c r="BA24" s="37"/>
      <c r="BB24" s="36"/>
      <c r="BC24" s="30">
        <f>BC21-BC23</f>
        <v>1544.5699999999981</v>
      </c>
      <c r="BD24" s="30">
        <f>BD21-BD23</f>
        <v>1588.2120000000004</v>
      </c>
      <c r="BE24" s="37"/>
      <c r="BF24" s="36"/>
      <c r="BG24" s="30">
        <f>BG21-BG23</f>
        <v>12616</v>
      </c>
      <c r="BH24" s="30">
        <f>BH21-BH23</f>
        <v>13978</v>
      </c>
      <c r="BI24" s="30">
        <f>BI21-BI23</f>
        <v>3998</v>
      </c>
      <c r="BJ24" s="30">
        <f>BJ21-BJ23</f>
        <v>-201</v>
      </c>
      <c r="BK24" s="30"/>
      <c r="BL24" s="37"/>
      <c r="BM24" s="36"/>
      <c r="BN24" s="30">
        <f>BN21-BN23</f>
        <v>306.09699999999998</v>
      </c>
      <c r="BO24" s="30">
        <f>BO21-BO23</f>
        <v>2461.9120000000003</v>
      </c>
      <c r="BP24" s="30">
        <f>BP21-BP23</f>
        <v>889.28399999999931</v>
      </c>
      <c r="BQ24" s="30">
        <f>BQ21-BQ23</f>
        <v>1308.9130000000002</v>
      </c>
      <c r="BR24" s="30"/>
      <c r="BS24" s="37"/>
      <c r="BT24" s="30"/>
      <c r="BU24" s="30">
        <f>BU21-BU23</f>
        <v>72.884000000000043</v>
      </c>
      <c r="BV24" s="30">
        <f>BV21-BV23</f>
        <v>22.900999999999993</v>
      </c>
      <c r="BW24" s="37"/>
      <c r="BX24" s="36"/>
      <c r="BY24" s="30">
        <f>BY21-BY23</f>
        <v>2469</v>
      </c>
      <c r="BZ24" s="30">
        <f>BZ21-BZ23</f>
        <v>1678</v>
      </c>
      <c r="CA24" s="31"/>
      <c r="CB24" s="30"/>
      <c r="CC24" s="32">
        <f>CC21-CC23</f>
        <v>1303.4570000000008</v>
      </c>
      <c r="CD24" s="32">
        <f>CD21-CD23</f>
        <v>253.82599999999971</v>
      </c>
      <c r="CE24" s="32">
        <f>CE21-CE23</f>
        <v>156.43599999999975</v>
      </c>
      <c r="CF24" s="32"/>
      <c r="CG24" s="37"/>
      <c r="CH24" s="36"/>
      <c r="CI24" s="32">
        <f>CI21-CI23</f>
        <v>1664</v>
      </c>
      <c r="CJ24" s="32">
        <f>CJ21-CJ23</f>
        <v>1385</v>
      </c>
      <c r="CK24" s="37"/>
      <c r="CL24" s="36"/>
      <c r="CM24" s="32">
        <f>CM21-CM23</f>
        <v>144.80200000000002</v>
      </c>
      <c r="CN24" s="32">
        <f>CN21-CN23</f>
        <v>123.12299999999996</v>
      </c>
      <c r="CO24" s="32"/>
      <c r="CP24" s="32"/>
      <c r="CQ24" s="32"/>
      <c r="CR24" s="37"/>
      <c r="CS24" s="36"/>
      <c r="CT24" s="32">
        <f>CT21-CT23</f>
        <v>-222.35800000000006</v>
      </c>
      <c r="CU24" s="32">
        <f>CU21-CU23</f>
        <v>-10.901999999999919</v>
      </c>
      <c r="CV24" s="37"/>
      <c r="CW24" s="36"/>
      <c r="CX24" s="32">
        <f>CX21-CX23</f>
        <v>154.24399999999997</v>
      </c>
      <c r="CY24" s="32">
        <f>CY21-CY23</f>
        <v>85.269999999999982</v>
      </c>
      <c r="CZ24" s="32"/>
      <c r="DA24" s="32"/>
      <c r="DB24" s="31"/>
      <c r="DC24" s="30"/>
      <c r="DD24" s="32">
        <f>DD21-DD23</f>
        <v>1591.4349999999997</v>
      </c>
      <c r="DE24" s="32">
        <f>DE21-DE23</f>
        <v>1607.1070000000004</v>
      </c>
      <c r="DF24" s="31"/>
      <c r="DG24" s="30"/>
      <c r="DH24" s="32">
        <f>DH21-DH23</f>
        <v>18518.870999999999</v>
      </c>
      <c r="DI24" s="32">
        <f>DI21-DI23</f>
        <v>13526.505999999999</v>
      </c>
      <c r="DJ24" s="32"/>
      <c r="DK24" s="32"/>
      <c r="DL24" s="32"/>
      <c r="DM24" s="37"/>
      <c r="DN24" s="36"/>
      <c r="DO24" s="32">
        <f>DO21-DO23</f>
        <v>4533</v>
      </c>
      <c r="DP24" s="32">
        <f>DP21-DP23</f>
        <v>4038</v>
      </c>
      <c r="DQ24" s="32"/>
      <c r="DR24" s="32"/>
      <c r="DS24" s="32"/>
      <c r="DT24" s="37"/>
      <c r="DU24" s="36"/>
      <c r="DV24" s="32">
        <f>DV21-DV23</f>
        <v>-91.413999999999987</v>
      </c>
      <c r="DW24" s="32">
        <f>DW21-DW23</f>
        <v>123.53899999999996</v>
      </c>
      <c r="DX24" s="37"/>
      <c r="DY24" s="36"/>
      <c r="DZ24" s="32">
        <f>DZ21-DZ23</f>
        <v>22167</v>
      </c>
      <c r="EA24" s="32">
        <f>EA21-EA23</f>
        <v>19617</v>
      </c>
      <c r="EB24" s="37"/>
      <c r="EC24" s="36"/>
      <c r="ED24" s="32">
        <f>ED21-ED23</f>
        <v>6503.996000000001</v>
      </c>
      <c r="EE24" s="32">
        <f>EE21-EE23</f>
        <v>4714.3360000000011</v>
      </c>
      <c r="EF24" s="37"/>
      <c r="EG24" s="36"/>
      <c r="EH24" s="32">
        <f>EH21-EH23</f>
        <v>86.463000000000008</v>
      </c>
      <c r="EI24" s="32">
        <f>EI21-EI23</f>
        <v>151.38900000000004</v>
      </c>
      <c r="EJ24" s="37"/>
      <c r="EK24" s="36"/>
      <c r="EL24" s="32">
        <f>EL21-EL23</f>
        <v>-511</v>
      </c>
      <c r="EM24" s="32">
        <f>EM21-EM23</f>
        <v>366</v>
      </c>
      <c r="EN24" s="37"/>
      <c r="EO24" s="36"/>
      <c r="EP24" s="32">
        <f>EP21-EP23</f>
        <v>717.81799999999987</v>
      </c>
      <c r="EQ24" s="32">
        <f>EQ21-EQ23</f>
        <v>475.45100000000002</v>
      </c>
      <c r="ER24" s="72"/>
      <c r="ES24" s="73"/>
      <c r="ET24" s="32">
        <f>ET21-ET23</f>
        <v>281.48700000000025</v>
      </c>
      <c r="EU24" s="32">
        <f>EU21-EU23</f>
        <v>194.30799999999954</v>
      </c>
      <c r="EV24" s="72"/>
      <c r="EW24" s="73"/>
      <c r="EX24" s="32">
        <f>EX21-EX23</f>
        <v>46.102999999999966</v>
      </c>
      <c r="EY24" s="32"/>
      <c r="EZ24" s="72"/>
      <c r="FA24" s="73"/>
      <c r="FB24" s="32">
        <f>FB21-FB23</f>
        <v>32.869999999999997</v>
      </c>
      <c r="FC24" s="32">
        <f>FC21-FC23</f>
        <v>-33.228000000000037</v>
      </c>
      <c r="FD24" s="72"/>
      <c r="FE24" s="73"/>
      <c r="FF24" s="32">
        <f>FF21-FF23</f>
        <v>4965</v>
      </c>
      <c r="FG24" s="32">
        <f>FG21-FG23</f>
        <v>5360</v>
      </c>
      <c r="FH24" s="72"/>
      <c r="FI24" s="73"/>
      <c r="FJ24" s="32">
        <f>FJ21-FJ23</f>
        <v>612.96900000000028</v>
      </c>
      <c r="FK24" s="32">
        <f>FK21-FK23</f>
        <v>94.308000000000135</v>
      </c>
      <c r="FL24" s="72"/>
      <c r="FM24" s="73"/>
      <c r="FN24" s="32">
        <f>FN21-FN23</f>
        <v>1391.6669999999947</v>
      </c>
      <c r="FO24" s="32">
        <f>FO21-FO23</f>
        <v>848.17400000000066</v>
      </c>
      <c r="FP24" s="72"/>
      <c r="FQ24" s="73"/>
      <c r="FR24" s="32">
        <f>FR21-FR23</f>
        <v>957.23800000000028</v>
      </c>
      <c r="FS24" s="32">
        <f>FS21-FS23</f>
        <v>-30.9350000000004</v>
      </c>
      <c r="FT24" s="72"/>
      <c r="FU24" s="73"/>
      <c r="FV24" s="32">
        <f>FV21-FV23</f>
        <v>864.78299999999967</v>
      </c>
      <c r="FW24" s="32">
        <f>FW21-FW23</f>
        <v>392.65400000000017</v>
      </c>
      <c r="FX24" s="72"/>
      <c r="FY24" s="73"/>
      <c r="FZ24" s="32">
        <f>FZ21-FZ23</f>
        <v>4065</v>
      </c>
      <c r="GA24" s="32">
        <f>GA21-GA23</f>
        <v>-8660</v>
      </c>
      <c r="GB24" s="72"/>
      <c r="GC24" s="73"/>
      <c r="GD24" s="32">
        <f>GD21-GD23</f>
        <v>88.617000000000104</v>
      </c>
      <c r="GE24" s="32">
        <f>GE21-GE23</f>
        <v>44.531000000000056</v>
      </c>
      <c r="GF24" s="72"/>
      <c r="GG24" s="73"/>
      <c r="GH24" s="32">
        <f>GH21-GH23</f>
        <v>1530.0200000000027</v>
      </c>
      <c r="GI24" s="32">
        <f>GI21-GI23</f>
        <v>3078.1759999999995</v>
      </c>
      <c r="GJ24" s="72"/>
      <c r="GK24" s="73"/>
      <c r="GL24" s="32">
        <f>GL21-GL23</f>
        <v>-1894.3130000000001</v>
      </c>
      <c r="GM24" s="32">
        <f>GM21-GM23</f>
        <v>-1730.1690000000001</v>
      </c>
      <c r="GN24" s="72"/>
      <c r="GO24" s="73"/>
      <c r="GP24" s="32">
        <f>GP21-GP23</f>
        <v>-39587</v>
      </c>
      <c r="GQ24" s="32">
        <f>GQ21-GQ23</f>
        <v>15494</v>
      </c>
      <c r="GR24" s="72"/>
      <c r="GS24" s="73"/>
      <c r="GT24" s="32">
        <f>GT21-GT23</f>
        <v>3</v>
      </c>
      <c r="GU24" s="32"/>
      <c r="GV24" s="72"/>
      <c r="GW24" s="73"/>
      <c r="GX24" s="32">
        <f>GX21-GX23</f>
        <v>702.83799999999997</v>
      </c>
      <c r="GY24" s="32">
        <f>GY21-GY23</f>
        <v>457.32299999999987</v>
      </c>
      <c r="GZ24" s="72"/>
      <c r="HA24" s="73"/>
      <c r="HB24" s="32">
        <f>HB21-HB23</f>
        <v>1416.6670000000011</v>
      </c>
      <c r="HC24" s="32"/>
      <c r="HD24" s="72"/>
      <c r="HE24" s="73"/>
      <c r="HF24" s="32">
        <f>HF21-HF23</f>
        <v>338.36700000000178</v>
      </c>
      <c r="HG24" s="32">
        <f>HG21-HG23</f>
        <v>261.59699999999765</v>
      </c>
      <c r="HH24" s="32">
        <f>HH21-HH23</f>
        <v>75.251000000001142</v>
      </c>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6" customFormat="1" ht="15.75" customHeight="1" x14ac:dyDescent="0.2">
      <c r="B25" s="65"/>
      <c r="C25" s="28"/>
      <c r="D25" s="29"/>
      <c r="E25" s="55"/>
      <c r="F25" s="55"/>
      <c r="G25" s="55"/>
      <c r="H25" s="55"/>
      <c r="I25" s="55"/>
      <c r="J25" s="28"/>
      <c r="K25" s="29"/>
      <c r="L25" s="51"/>
      <c r="M25" s="51"/>
      <c r="N25" s="28"/>
      <c r="O25" s="29"/>
      <c r="P25" s="51"/>
      <c r="Q25" s="51"/>
      <c r="R25" s="51"/>
      <c r="S25" s="51"/>
      <c r="T25" s="51"/>
      <c r="U25" s="28"/>
      <c r="V25" s="29"/>
      <c r="W25" s="51"/>
      <c r="X25" s="51"/>
      <c r="Y25" s="51"/>
      <c r="Z25" s="51"/>
      <c r="AA25" s="51"/>
      <c r="AB25" s="28"/>
      <c r="AC25" s="29"/>
      <c r="AD25" s="51"/>
      <c r="AE25" s="51"/>
      <c r="AF25" s="28"/>
      <c r="AG25" s="29"/>
      <c r="AH25" s="51"/>
      <c r="AI25" s="51"/>
      <c r="AJ25" s="28"/>
      <c r="AK25" s="29"/>
      <c r="AL25" s="51"/>
      <c r="AM25" s="51"/>
      <c r="AN25" s="51"/>
      <c r="AO25" s="51"/>
      <c r="AP25" s="28"/>
      <c r="AQ25" s="29"/>
      <c r="AR25" s="51"/>
      <c r="AS25" s="51"/>
      <c r="AT25" s="51"/>
      <c r="AU25" s="51"/>
      <c r="AV25" s="51"/>
      <c r="AW25" s="28"/>
      <c r="AX25" s="29"/>
      <c r="AY25" s="51"/>
      <c r="AZ25" s="51"/>
      <c r="BA25" s="28"/>
      <c r="BB25" s="29"/>
      <c r="BC25" s="29"/>
      <c r="BD25" s="29"/>
      <c r="BE25" s="28"/>
      <c r="BF25" s="29"/>
      <c r="BG25" s="29"/>
      <c r="BH25" s="29"/>
      <c r="BI25" s="29"/>
      <c r="BJ25" s="29"/>
      <c r="BK25" s="29"/>
      <c r="BL25" s="28"/>
      <c r="BM25" s="29"/>
      <c r="BN25" s="29"/>
      <c r="BO25" s="29"/>
      <c r="BP25" s="29"/>
      <c r="BQ25" s="29"/>
      <c r="BR25" s="29"/>
      <c r="BS25" s="28"/>
      <c r="BT25" s="29"/>
      <c r="BU25" s="29"/>
      <c r="BV25" s="29"/>
      <c r="BW25" s="28"/>
      <c r="BX25" s="29"/>
      <c r="BY25" s="51"/>
      <c r="BZ25" s="51"/>
      <c r="CA25" s="28"/>
      <c r="CB25" s="29"/>
      <c r="CC25" s="51"/>
      <c r="CD25" s="51"/>
      <c r="CE25" s="51"/>
      <c r="CF25" s="51"/>
      <c r="CG25" s="28"/>
      <c r="CH25" s="29"/>
      <c r="CI25" s="51"/>
      <c r="CJ25" s="51"/>
      <c r="CK25" s="28"/>
      <c r="CL25" s="29"/>
      <c r="CM25" s="51"/>
      <c r="CN25" s="51"/>
      <c r="CO25" s="51"/>
      <c r="CP25" s="51"/>
      <c r="CQ25" s="51"/>
      <c r="CR25" s="28"/>
      <c r="CS25" s="29"/>
      <c r="CT25" s="51"/>
      <c r="CU25" s="51"/>
      <c r="CV25" s="28"/>
      <c r="CW25" s="29"/>
      <c r="CX25" s="51"/>
      <c r="CY25" s="51"/>
      <c r="CZ25" s="51"/>
      <c r="DA25" s="51"/>
      <c r="DB25" s="28"/>
      <c r="DC25" s="29"/>
      <c r="DD25" s="51"/>
      <c r="DE25" s="51"/>
      <c r="DF25" s="28"/>
      <c r="DG25" s="29"/>
      <c r="DH25" s="51"/>
      <c r="DI25" s="51"/>
      <c r="DJ25" s="51"/>
      <c r="DK25" s="51"/>
      <c r="DL25" s="51"/>
      <c r="DM25" s="28"/>
      <c r="DN25" s="29"/>
      <c r="DO25" s="51"/>
      <c r="DP25" s="51"/>
      <c r="DQ25" s="51"/>
      <c r="DR25" s="51"/>
      <c r="DS25" s="51"/>
      <c r="DT25" s="28"/>
      <c r="DU25" s="29"/>
      <c r="DV25" s="51"/>
      <c r="DW25" s="51"/>
      <c r="DX25" s="28"/>
      <c r="DY25" s="29"/>
      <c r="DZ25" s="51"/>
      <c r="EA25" s="51"/>
      <c r="EB25" s="28"/>
      <c r="EC25" s="29"/>
      <c r="ED25" s="51"/>
      <c r="EE25" s="51"/>
      <c r="EF25" s="28"/>
      <c r="EG25" s="29"/>
      <c r="EH25" s="51"/>
      <c r="EI25" s="51"/>
      <c r="EJ25" s="28"/>
      <c r="EK25" s="29"/>
      <c r="EL25" s="51"/>
      <c r="EM25" s="51"/>
      <c r="EN25" s="28"/>
      <c r="EO25" s="29"/>
      <c r="EP25" s="51"/>
      <c r="EQ25" s="51"/>
      <c r="ER25" s="7"/>
      <c r="ES25" s="8"/>
      <c r="ET25" s="51"/>
      <c r="EU25" s="51"/>
      <c r="EV25" s="7"/>
      <c r="EW25" s="8"/>
      <c r="EX25" s="51"/>
      <c r="EY25" s="51"/>
      <c r="EZ25" s="7"/>
      <c r="FA25" s="8"/>
      <c r="FB25" s="51"/>
      <c r="FC25" s="51"/>
      <c r="FD25" s="7"/>
      <c r="FE25" s="8"/>
      <c r="FF25" s="51"/>
      <c r="FG25" s="51"/>
      <c r="FH25" s="7"/>
      <c r="FI25" s="8"/>
      <c r="FJ25" s="51"/>
      <c r="FK25" s="51"/>
      <c r="FL25" s="7"/>
      <c r="FM25" s="8"/>
      <c r="FN25" s="51"/>
      <c r="FO25" s="51"/>
      <c r="FP25" s="7"/>
      <c r="FQ25" s="8"/>
      <c r="FR25" s="51"/>
      <c r="FS25" s="51"/>
      <c r="FT25" s="7"/>
      <c r="FU25" s="8"/>
      <c r="FV25" s="51"/>
      <c r="FW25" s="51"/>
      <c r="FX25" s="7"/>
      <c r="FY25" s="8"/>
      <c r="FZ25" s="51"/>
      <c r="GA25" s="51"/>
      <c r="GB25" s="7"/>
      <c r="GC25" s="8"/>
      <c r="GD25" s="51"/>
      <c r="GE25" s="51"/>
      <c r="GF25" s="7"/>
      <c r="GG25" s="8"/>
      <c r="GH25" s="51"/>
      <c r="GI25" s="51"/>
      <c r="GJ25" s="7"/>
      <c r="GK25" s="8"/>
      <c r="GL25" s="51"/>
      <c r="GM25" s="51"/>
      <c r="GN25" s="7"/>
      <c r="GO25" s="8"/>
      <c r="GP25" s="51"/>
      <c r="GQ25" s="51"/>
      <c r="GR25" s="7"/>
      <c r="GS25" s="8"/>
      <c r="GT25" s="51"/>
      <c r="GU25" s="51"/>
      <c r="GV25" s="7"/>
      <c r="GW25" s="8"/>
      <c r="GX25" s="51"/>
      <c r="GY25" s="51"/>
      <c r="GZ25" s="7"/>
      <c r="HA25" s="8"/>
      <c r="HB25" s="51"/>
      <c r="HC25" s="51"/>
      <c r="HD25" s="7"/>
      <c r="HE25" s="8"/>
      <c r="HF25" s="51"/>
      <c r="HG25" s="51"/>
      <c r="HH25" s="51"/>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74" customFormat="1" x14ac:dyDescent="0.2">
      <c r="A26" s="75" t="s">
        <v>133</v>
      </c>
      <c r="B26" s="76"/>
      <c r="C26" s="48"/>
      <c r="D26" s="49"/>
      <c r="E26" s="34"/>
      <c r="F26" s="34"/>
      <c r="G26" s="34"/>
      <c r="H26" s="34"/>
      <c r="I26" s="34"/>
      <c r="J26" s="37"/>
      <c r="K26" s="36"/>
      <c r="L26" s="35"/>
      <c r="M26" s="35"/>
      <c r="N26" s="48"/>
      <c r="O26" s="49"/>
      <c r="P26" s="35"/>
      <c r="Q26" s="35"/>
      <c r="R26" s="35"/>
      <c r="S26" s="35"/>
      <c r="T26" s="35"/>
      <c r="U26" s="37"/>
      <c r="V26" s="36"/>
      <c r="W26" s="35"/>
      <c r="X26" s="35"/>
      <c r="Y26" s="35"/>
      <c r="Z26" s="35"/>
      <c r="AA26" s="35"/>
      <c r="AB26" s="37"/>
      <c r="AC26" s="36"/>
      <c r="AD26" s="35"/>
      <c r="AE26" s="35"/>
      <c r="AF26" s="37"/>
      <c r="AG26" s="36"/>
      <c r="AH26" s="35"/>
      <c r="AI26" s="35"/>
      <c r="AJ26" s="37"/>
      <c r="AK26" s="36"/>
      <c r="AL26" s="35"/>
      <c r="AM26" s="35"/>
      <c r="AN26" s="35"/>
      <c r="AO26" s="35"/>
      <c r="AP26" s="37"/>
      <c r="AQ26" s="36"/>
      <c r="AR26" s="35"/>
      <c r="AS26" s="35"/>
      <c r="AT26" s="35"/>
      <c r="AU26" s="35"/>
      <c r="AV26" s="35"/>
      <c r="AW26" s="37"/>
      <c r="AX26" s="36"/>
      <c r="AY26" s="35"/>
      <c r="AZ26" s="35"/>
      <c r="BA26" s="37"/>
      <c r="BB26" s="36"/>
      <c r="BC26" s="36"/>
      <c r="BD26" s="36"/>
      <c r="BE26" s="37"/>
      <c r="BF26" s="36"/>
      <c r="BG26" s="36"/>
      <c r="BH26" s="36"/>
      <c r="BI26" s="36"/>
      <c r="BJ26" s="36"/>
      <c r="BK26" s="36"/>
      <c r="BL26" s="37"/>
      <c r="BM26" s="36"/>
      <c r="BN26" s="36"/>
      <c r="BO26" s="36"/>
      <c r="BP26" s="36"/>
      <c r="BQ26" s="36"/>
      <c r="BR26" s="36"/>
      <c r="BS26" s="37"/>
      <c r="BT26" s="36"/>
      <c r="BU26" s="36"/>
      <c r="BV26" s="36"/>
      <c r="BW26" s="37"/>
      <c r="BX26" s="36"/>
      <c r="BY26" s="35"/>
      <c r="BZ26" s="35"/>
      <c r="CA26" s="37"/>
      <c r="CB26" s="36"/>
      <c r="CC26" s="35"/>
      <c r="CD26" s="35"/>
      <c r="CE26" s="35"/>
      <c r="CF26" s="35"/>
      <c r="CG26" s="37"/>
      <c r="CH26" s="36"/>
      <c r="CI26" s="35"/>
      <c r="CJ26" s="35"/>
      <c r="CK26" s="37"/>
      <c r="CL26" s="36"/>
      <c r="CM26" s="35"/>
      <c r="CN26" s="35"/>
      <c r="CO26" s="35"/>
      <c r="CP26" s="35"/>
      <c r="CQ26" s="35"/>
      <c r="CR26" s="37"/>
      <c r="CS26" s="36"/>
      <c r="CT26" s="35"/>
      <c r="CU26" s="35"/>
      <c r="CV26" s="37"/>
      <c r="CW26" s="36"/>
      <c r="CX26" s="35"/>
      <c r="CY26" s="35"/>
      <c r="CZ26" s="35"/>
      <c r="DA26" s="35"/>
      <c r="DB26" s="31"/>
      <c r="DC26" s="30"/>
      <c r="DD26" s="35"/>
      <c r="DE26" s="35"/>
      <c r="DF26" s="31"/>
      <c r="DG26" s="30"/>
      <c r="DH26" s="35"/>
      <c r="DI26" s="35"/>
      <c r="DJ26" s="35"/>
      <c r="DK26" s="35"/>
      <c r="DL26" s="35"/>
      <c r="DM26" s="37"/>
      <c r="DN26" s="36"/>
      <c r="DO26" s="35"/>
      <c r="DP26" s="35"/>
      <c r="DQ26" s="35"/>
      <c r="DR26" s="35"/>
      <c r="DS26" s="35"/>
      <c r="DT26" s="37"/>
      <c r="DU26" s="36"/>
      <c r="DV26" s="35"/>
      <c r="DW26" s="35"/>
      <c r="DX26" s="37"/>
      <c r="DY26" s="36"/>
      <c r="DZ26" s="35"/>
      <c r="EA26" s="35"/>
      <c r="EB26" s="37"/>
      <c r="EC26" s="36"/>
      <c r="ED26" s="35"/>
      <c r="EE26" s="35"/>
      <c r="EF26" s="37"/>
      <c r="EG26" s="36"/>
      <c r="EH26" s="35"/>
      <c r="EI26" s="35"/>
      <c r="EJ26" s="37"/>
      <c r="EK26" s="36"/>
      <c r="EL26" s="35"/>
      <c r="EM26" s="35"/>
      <c r="EN26" s="37"/>
      <c r="EO26" s="36"/>
      <c r="EP26" s="35"/>
      <c r="EQ26" s="35"/>
      <c r="ER26" s="72"/>
      <c r="ES26" s="73"/>
      <c r="ET26" s="35"/>
      <c r="EU26" s="35"/>
      <c r="EV26" s="72"/>
      <c r="EW26" s="73"/>
      <c r="EX26" s="35"/>
      <c r="EY26" s="35"/>
      <c r="EZ26" s="72"/>
      <c r="FA26" s="73"/>
      <c r="FB26" s="35"/>
      <c r="FC26" s="35"/>
      <c r="FD26" s="72"/>
      <c r="FE26" s="73"/>
      <c r="FF26" s="35"/>
      <c r="FG26" s="35"/>
      <c r="FH26" s="72"/>
      <c r="FI26" s="73"/>
      <c r="FJ26" s="35"/>
      <c r="FK26" s="35"/>
      <c r="FL26" s="72"/>
      <c r="FM26" s="73"/>
      <c r="FN26" s="35"/>
      <c r="FO26" s="35"/>
      <c r="FP26" s="72"/>
      <c r="FQ26" s="73"/>
      <c r="FR26" s="35"/>
      <c r="FS26" s="35"/>
      <c r="FT26" s="72"/>
      <c r="FU26" s="73"/>
      <c r="FV26" s="35"/>
      <c r="FW26" s="35"/>
      <c r="FX26" s="72"/>
      <c r="FY26" s="73"/>
      <c r="FZ26" s="35"/>
      <c r="GA26" s="35"/>
      <c r="GB26" s="72"/>
      <c r="GC26" s="73"/>
      <c r="GD26" s="35"/>
      <c r="GE26" s="35"/>
      <c r="GF26" s="72"/>
      <c r="GG26" s="73"/>
      <c r="GH26" s="35"/>
      <c r="GI26" s="35"/>
      <c r="GJ26" s="72"/>
      <c r="GK26" s="73"/>
      <c r="GL26" s="35"/>
      <c r="GM26" s="35"/>
      <c r="GN26" s="72"/>
      <c r="GO26" s="73"/>
      <c r="GP26" s="35"/>
      <c r="GQ26" s="35"/>
      <c r="GR26" s="72"/>
      <c r="GS26" s="73"/>
      <c r="GT26" s="35"/>
      <c r="GU26" s="35"/>
      <c r="GV26" s="72"/>
      <c r="GW26" s="73"/>
      <c r="GX26" s="35"/>
      <c r="GY26" s="35"/>
      <c r="GZ26" s="72"/>
      <c r="HA26" s="73"/>
      <c r="HB26" s="35"/>
      <c r="HC26" s="35"/>
      <c r="HD26" s="72"/>
      <c r="HE26" s="73"/>
      <c r="HF26" s="35"/>
      <c r="HG26" s="35"/>
      <c r="HH26" s="35"/>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x14ac:dyDescent="0.2">
      <c r="A27" s="13" t="s">
        <v>134</v>
      </c>
      <c r="B27" s="5"/>
      <c r="C27" s="28"/>
      <c r="D27" s="29"/>
      <c r="E27" s="77"/>
      <c r="F27" s="77"/>
      <c r="G27" s="77"/>
      <c r="H27" s="77"/>
      <c r="I27" s="77"/>
      <c r="J27" s="31"/>
      <c r="K27" s="30"/>
      <c r="L27" s="32"/>
      <c r="M27" s="32"/>
      <c r="N27" s="28"/>
      <c r="O27" s="29"/>
      <c r="P27" s="32"/>
      <c r="Q27" s="32"/>
      <c r="R27" s="32"/>
      <c r="S27" s="32"/>
      <c r="T27" s="32"/>
      <c r="U27" s="31"/>
      <c r="V27" s="30"/>
      <c r="W27" s="32"/>
      <c r="X27" s="32"/>
      <c r="Y27" s="32"/>
      <c r="Z27" s="32"/>
      <c r="AA27" s="32"/>
      <c r="AB27" s="31"/>
      <c r="AC27" s="30"/>
      <c r="AD27" s="32"/>
      <c r="AE27" s="32"/>
      <c r="AF27" s="31"/>
      <c r="AG27" s="30"/>
      <c r="AH27" s="32"/>
      <c r="AI27" s="32"/>
      <c r="AJ27" s="31"/>
      <c r="AK27" s="30"/>
      <c r="AL27" s="32"/>
      <c r="AM27" s="32"/>
      <c r="AN27" s="32"/>
      <c r="AO27" s="32"/>
      <c r="AP27" s="31"/>
      <c r="AQ27" s="30"/>
      <c r="AR27" s="32"/>
      <c r="AS27" s="32"/>
      <c r="AT27" s="32"/>
      <c r="AU27" s="32"/>
      <c r="AV27" s="32"/>
      <c r="AW27" s="31"/>
      <c r="AX27" s="30"/>
      <c r="AY27" s="32"/>
      <c r="AZ27" s="32"/>
      <c r="BA27" s="31"/>
      <c r="BB27" s="30"/>
      <c r="BC27" s="30"/>
      <c r="BD27" s="30"/>
      <c r="BE27" s="31"/>
      <c r="BF27" s="30"/>
      <c r="BG27" s="30"/>
      <c r="BH27" s="30"/>
      <c r="BI27" s="30"/>
      <c r="BJ27" s="30"/>
      <c r="BK27" s="30"/>
      <c r="BL27" s="31"/>
      <c r="BM27" s="30"/>
      <c r="BN27" s="30"/>
      <c r="BO27" s="30"/>
      <c r="BP27" s="30"/>
      <c r="BQ27" s="30"/>
      <c r="BR27" s="30"/>
      <c r="BS27" s="31"/>
      <c r="BT27" s="30"/>
      <c r="BU27" s="30"/>
      <c r="BV27" s="30"/>
      <c r="BW27" s="31"/>
      <c r="BX27" s="30"/>
      <c r="BY27" s="32"/>
      <c r="BZ27" s="32"/>
      <c r="CA27" s="31"/>
      <c r="CB27" s="30"/>
      <c r="CC27" s="32"/>
      <c r="CD27" s="32"/>
      <c r="CE27" s="32"/>
      <c r="CF27" s="32"/>
      <c r="CG27" s="31"/>
      <c r="CH27" s="30"/>
      <c r="CI27" s="32"/>
      <c r="CJ27" s="32"/>
      <c r="CK27" s="31"/>
      <c r="CL27" s="30"/>
      <c r="CM27" s="32"/>
      <c r="CN27" s="32"/>
      <c r="CO27" s="32"/>
      <c r="CP27" s="32"/>
      <c r="CQ27" s="32"/>
      <c r="CR27" s="31"/>
      <c r="CS27" s="30"/>
      <c r="CT27" s="32"/>
      <c r="CU27" s="32"/>
      <c r="CV27" s="31"/>
      <c r="CW27" s="30"/>
      <c r="CX27" s="32"/>
      <c r="CY27" s="32"/>
      <c r="CZ27" s="32"/>
      <c r="DA27" s="32"/>
      <c r="DB27" s="31"/>
      <c r="DC27" s="30"/>
      <c r="DD27" s="32"/>
      <c r="DE27" s="32"/>
      <c r="DF27" s="31"/>
      <c r="DG27" s="30"/>
      <c r="DH27" s="32"/>
      <c r="DI27" s="32"/>
      <c r="DJ27" s="32"/>
      <c r="DK27" s="32"/>
      <c r="DL27" s="32"/>
      <c r="DM27" s="31"/>
      <c r="DN27" s="30"/>
      <c r="DO27" s="32"/>
      <c r="DP27" s="32"/>
      <c r="DQ27" s="32"/>
      <c r="DR27" s="32"/>
      <c r="DS27" s="32"/>
      <c r="DT27" s="31"/>
      <c r="DU27" s="30"/>
      <c r="DV27" s="32"/>
      <c r="DW27" s="32"/>
      <c r="DX27" s="31"/>
      <c r="DY27" s="30"/>
      <c r="DZ27" s="32"/>
      <c r="EA27" s="32"/>
      <c r="EB27" s="31"/>
      <c r="EC27" s="30"/>
      <c r="ED27" s="32"/>
      <c r="EE27" s="32"/>
      <c r="EF27" s="31"/>
      <c r="EG27" s="30"/>
      <c r="EH27" s="32"/>
      <c r="EI27" s="32"/>
      <c r="EJ27" s="31"/>
      <c r="EK27" s="30"/>
      <c r="EL27" s="32"/>
      <c r="EM27" s="32"/>
      <c r="EN27" s="31"/>
      <c r="EO27" s="30"/>
      <c r="EP27" s="32"/>
      <c r="EQ27" s="32"/>
      <c r="ET27" s="32"/>
      <c r="EU27" s="32"/>
      <c r="EX27" s="32"/>
      <c r="EY27" s="32"/>
      <c r="FB27" s="32"/>
      <c r="FC27" s="32"/>
      <c r="FF27" s="32"/>
      <c r="FG27" s="32"/>
      <c r="FJ27" s="32"/>
      <c r="FK27" s="32"/>
      <c r="FN27" s="32"/>
      <c r="FO27" s="32"/>
      <c r="FR27" s="32"/>
      <c r="FS27" s="32"/>
      <c r="FV27" s="32"/>
      <c r="FW27" s="32"/>
      <c r="FZ27" s="32"/>
      <c r="GA27" s="32"/>
      <c r="GD27" s="32"/>
      <c r="GE27" s="32"/>
      <c r="GH27" s="32"/>
      <c r="GI27" s="32"/>
      <c r="GL27" s="32"/>
      <c r="GM27" s="32"/>
      <c r="GP27" s="32"/>
      <c r="GQ27" s="32"/>
      <c r="GT27" s="32"/>
      <c r="GU27" s="32"/>
      <c r="GX27" s="32"/>
      <c r="GY27" s="32"/>
      <c r="HB27" s="32"/>
      <c r="HC27" s="32"/>
      <c r="HF27" s="32"/>
      <c r="HG27" s="32"/>
      <c r="HH27" s="32"/>
    </row>
    <row r="28" spans="1:256" s="74" customFormat="1" x14ac:dyDescent="0.2">
      <c r="B28" s="76" t="s">
        <v>135</v>
      </c>
      <c r="C28" s="48"/>
      <c r="D28" s="49"/>
      <c r="E28" s="57">
        <v>172707.19200000001</v>
      </c>
      <c r="F28" s="34">
        <v>137700.24400000001</v>
      </c>
      <c r="G28" s="34">
        <v>110736.18</v>
      </c>
      <c r="H28" s="34">
        <v>99511.034</v>
      </c>
      <c r="I28" s="34"/>
      <c r="J28" s="37"/>
      <c r="K28" s="36"/>
      <c r="L28" s="35">
        <f>950.075+448.799+2375.19</f>
        <v>3774.0640000000003</v>
      </c>
      <c r="M28" s="35">
        <f>1000+6616+2500</f>
        <v>10116</v>
      </c>
      <c r="N28" s="48"/>
      <c r="O28" s="49"/>
      <c r="P28" s="56">
        <v>31897</v>
      </c>
      <c r="Q28" s="35">
        <v>28422</v>
      </c>
      <c r="R28" s="35">
        <v>23694.297999999999</v>
      </c>
      <c r="S28" s="35">
        <v>26675.569</v>
      </c>
      <c r="T28" s="35"/>
      <c r="U28" s="37"/>
      <c r="V28" s="36"/>
      <c r="W28" s="35">
        <f>19389.11-1479.15-194.016+11628.57-1385.119</f>
        <v>27959.395</v>
      </c>
      <c r="X28" s="35">
        <f>13819.04-1397.308-157.016+10478.777-1059.316</f>
        <v>21684.177000000003</v>
      </c>
      <c r="Y28" s="35">
        <v>20063.101999999999</v>
      </c>
      <c r="Z28" s="35">
        <v>16607.219000000001</v>
      </c>
      <c r="AA28" s="35"/>
      <c r="AB28" s="37"/>
      <c r="AC28" s="36"/>
      <c r="AD28" s="35">
        <v>10895.705</v>
      </c>
      <c r="AE28" s="35">
        <v>9157.4760000000006</v>
      </c>
      <c r="AF28" s="37"/>
      <c r="AG28" s="36"/>
      <c r="AH28" s="35">
        <f>28235.206+22.928</f>
        <v>28258.133999999998</v>
      </c>
      <c r="AI28" s="35">
        <f>6452.535+37.07</f>
        <v>6489.6049999999996</v>
      </c>
      <c r="AJ28" s="37"/>
      <c r="AK28" s="36"/>
      <c r="AL28" s="35">
        <f>56.417+89.465+1224.318+3697.903</f>
        <v>5068.1030000000001</v>
      </c>
      <c r="AM28" s="35">
        <f>4.112+14.461+926.209+2533.433</f>
        <v>3478.2150000000001</v>
      </c>
      <c r="AN28" s="35">
        <f>628.241+43</f>
        <v>671.24099999999999</v>
      </c>
      <c r="AO28" s="35"/>
      <c r="AP28" s="37"/>
      <c r="AQ28" s="36"/>
      <c r="AR28" s="35">
        <v>13768.537</v>
      </c>
      <c r="AS28" s="35">
        <v>10216.009</v>
      </c>
      <c r="AT28" s="35">
        <v>8069.3890000000001</v>
      </c>
      <c r="AU28" s="35">
        <v>6155.6989999999996</v>
      </c>
      <c r="AV28" s="35"/>
      <c r="AW28" s="37"/>
      <c r="AX28" s="36"/>
      <c r="AY28" s="35">
        <v>557052</v>
      </c>
      <c r="AZ28" s="35">
        <v>559919</v>
      </c>
      <c r="BA28" s="37"/>
      <c r="BB28" s="36"/>
      <c r="BC28" s="36">
        <v>93025.55</v>
      </c>
      <c r="BD28" s="36">
        <f>41405.252+34914.425+38064.664</f>
        <v>114384.34099999999</v>
      </c>
      <c r="BE28" s="37"/>
      <c r="BF28" s="36"/>
      <c r="BG28" s="36">
        <v>386260</v>
      </c>
      <c r="BH28" s="36">
        <v>320817</v>
      </c>
      <c r="BI28" s="36">
        <f>133385+206529</f>
        <v>339914</v>
      </c>
      <c r="BJ28" s="36">
        <f>132644+6096</f>
        <v>138740</v>
      </c>
      <c r="BK28" s="36"/>
      <c r="BL28" s="37"/>
      <c r="BM28" s="36"/>
      <c r="BN28" s="36">
        <v>24609.987000000001</v>
      </c>
      <c r="BO28" s="36">
        <v>23387.452000000001</v>
      </c>
      <c r="BP28" s="36">
        <f>7075.936+7702.736</f>
        <v>14778.671999999999</v>
      </c>
      <c r="BQ28" s="36">
        <f>4800.872+4206.392</f>
        <v>9007.2639999999992</v>
      </c>
      <c r="BR28" s="36"/>
      <c r="BS28" s="37"/>
      <c r="BT28" s="36"/>
      <c r="BU28" s="36">
        <v>4973.0420000000004</v>
      </c>
      <c r="BV28" s="36">
        <v>3539.0740000000001</v>
      </c>
      <c r="BW28" s="37"/>
      <c r="BX28" s="36"/>
      <c r="BY28" s="35">
        <v>0</v>
      </c>
      <c r="BZ28" s="35">
        <v>0</v>
      </c>
      <c r="CA28" s="37"/>
      <c r="CB28" s="36"/>
      <c r="CC28" s="35">
        <f>73085.9+22341.835+5486.455+11799.499</f>
        <v>112713.68899999998</v>
      </c>
      <c r="CD28" s="35">
        <f>4065.74+26233.636+6.18+4254.09+721.731</f>
        <v>35281.376999999993</v>
      </c>
      <c r="CE28" s="35">
        <f>7963.888+998.266+3610.164</f>
        <v>12572.318000000001</v>
      </c>
      <c r="CF28" s="35"/>
      <c r="CG28" s="37"/>
      <c r="CH28" s="36"/>
      <c r="CI28" s="35">
        <f>31359</f>
        <v>31359</v>
      </c>
      <c r="CJ28" s="35">
        <v>34826</v>
      </c>
      <c r="CK28" s="37"/>
      <c r="CL28" s="36"/>
      <c r="CM28" s="35">
        <v>6826.8119999999999</v>
      </c>
      <c r="CN28" s="35">
        <v>6170.6130000000003</v>
      </c>
      <c r="CO28" s="35"/>
      <c r="CP28" s="35"/>
      <c r="CQ28" s="35"/>
      <c r="CR28" s="37"/>
      <c r="CS28" s="36"/>
      <c r="CT28" s="35">
        <v>3210.7869999999998</v>
      </c>
      <c r="CU28" s="35">
        <v>3797.7249999999999</v>
      </c>
      <c r="CV28" s="37"/>
      <c r="CW28" s="36"/>
      <c r="CX28" s="35">
        <v>7577.4949999999999</v>
      </c>
      <c r="CY28" s="35">
        <f>1847.234+851.626</f>
        <v>2698.8599999999997</v>
      </c>
      <c r="CZ28" s="35"/>
      <c r="DA28" s="35"/>
      <c r="DB28" s="31"/>
      <c r="DC28" s="30"/>
      <c r="DD28" s="35">
        <v>14526.164000000001</v>
      </c>
      <c r="DE28" s="35">
        <v>13904.33</v>
      </c>
      <c r="DF28" s="31"/>
      <c r="DG28" s="30"/>
      <c r="DH28" s="35">
        <f>17261.79+94414.584</f>
        <v>111676.37400000001</v>
      </c>
      <c r="DI28" s="35">
        <f>5084.455+78754.592+5609</f>
        <v>89448.047000000006</v>
      </c>
      <c r="DJ28" s="35"/>
      <c r="DK28" s="35"/>
      <c r="DL28" s="35"/>
      <c r="DM28" s="37"/>
      <c r="DN28" s="36"/>
      <c r="DO28" s="35">
        <v>238034</v>
      </c>
      <c r="DP28" s="35">
        <v>186334</v>
      </c>
      <c r="DQ28" s="35"/>
      <c r="DR28" s="35"/>
      <c r="DS28" s="35"/>
      <c r="DT28" s="37"/>
      <c r="DU28" s="36"/>
      <c r="DV28" s="35">
        <f>2628.561+2697.883</f>
        <v>5326.4439999999995</v>
      </c>
      <c r="DW28" s="35">
        <f>5560.021</f>
        <v>5560.0209999999997</v>
      </c>
      <c r="DX28" s="37"/>
      <c r="DY28" s="36"/>
      <c r="DZ28" s="35">
        <v>500389</v>
      </c>
      <c r="EA28" s="35">
        <v>427985</v>
      </c>
      <c r="EB28" s="37"/>
      <c r="EC28" s="36"/>
      <c r="ED28" s="35">
        <f>119.36+13046.884+50700.407+154737.65</f>
        <v>218604.30099999998</v>
      </c>
      <c r="EE28" s="35">
        <f>32.132+28093.398+14095.182+142776.416</f>
        <v>184997.128</v>
      </c>
      <c r="EF28" s="37"/>
      <c r="EG28" s="36"/>
      <c r="EH28" s="35">
        <v>5856.6890000000003</v>
      </c>
      <c r="EI28" s="35">
        <v>4401.0590000000002</v>
      </c>
      <c r="EJ28" s="37"/>
      <c r="EK28" s="36"/>
      <c r="EL28" s="35">
        <v>39502</v>
      </c>
      <c r="EM28" s="35">
        <v>37249</v>
      </c>
      <c r="EN28" s="37"/>
      <c r="EO28" s="36"/>
      <c r="EP28" s="35">
        <f>10530.671+990.94+750+500+50+12.89+7345.819</f>
        <v>20180.32</v>
      </c>
      <c r="EQ28" s="35">
        <f>5239.058+131.822+1000+300+7592.317</f>
        <v>14263.197</v>
      </c>
      <c r="ER28" s="72"/>
      <c r="ES28" s="73"/>
      <c r="ET28" s="35">
        <v>47311.182999999997</v>
      </c>
      <c r="EU28" s="35">
        <v>36378.209000000003</v>
      </c>
      <c r="EV28" s="72"/>
      <c r="EW28" s="73"/>
      <c r="EX28" s="35">
        <f>563.212+277.193</f>
        <v>840.40499999999997</v>
      </c>
      <c r="EY28" s="35"/>
      <c r="EZ28" s="72"/>
      <c r="FA28" s="73"/>
      <c r="FB28" s="35">
        <f>3075.137+88.856</f>
        <v>3163.9930000000004</v>
      </c>
      <c r="FC28" s="35">
        <f>1666.309+1274.202</f>
        <v>2940.511</v>
      </c>
      <c r="FD28" s="72"/>
      <c r="FE28" s="73"/>
      <c r="FF28" s="35">
        <v>258301</v>
      </c>
      <c r="FG28" s="35">
        <v>250847</v>
      </c>
      <c r="FH28" s="72"/>
      <c r="FI28" s="73"/>
      <c r="FJ28" s="35">
        <v>32625.010999999999</v>
      </c>
      <c r="FK28" s="35">
        <v>19640.780999999999</v>
      </c>
      <c r="FL28" s="72"/>
      <c r="FM28" s="73"/>
      <c r="FN28" s="35">
        <v>850887.75300000003</v>
      </c>
      <c r="FO28" s="35">
        <v>737206.77099999995</v>
      </c>
      <c r="FP28" s="72"/>
      <c r="FQ28" s="73"/>
      <c r="FR28" s="35">
        <f>12408.324+12093.533</f>
        <v>24501.857</v>
      </c>
      <c r="FS28" s="35">
        <f>10890.107+11485.559</f>
        <v>22375.665999999997</v>
      </c>
      <c r="FT28" s="72"/>
      <c r="FU28" s="73"/>
      <c r="FV28" s="35">
        <f>1153.353+2393.934+2028.468</f>
        <v>5575.7550000000001</v>
      </c>
      <c r="FW28" s="35">
        <f>571.003+2293.86+1866.02</f>
        <v>4730.8829999999998</v>
      </c>
      <c r="FX28" s="72"/>
      <c r="FY28" s="73"/>
      <c r="FZ28" s="35">
        <f>52710+90343</f>
        <v>143053</v>
      </c>
      <c r="GA28" s="35">
        <f>46290+92598</f>
        <v>138888</v>
      </c>
      <c r="GB28" s="72"/>
      <c r="GC28" s="73"/>
      <c r="GD28" s="35">
        <v>248.61699999999999</v>
      </c>
      <c r="GE28" s="35">
        <v>42.789000000000001</v>
      </c>
      <c r="GF28" s="72"/>
      <c r="GG28" s="73"/>
      <c r="GH28" s="35">
        <v>221515.079</v>
      </c>
      <c r="GI28" s="35">
        <v>305362.04599999997</v>
      </c>
      <c r="GJ28" s="72"/>
      <c r="GK28" s="73"/>
      <c r="GL28" s="35">
        <v>26630.78</v>
      </c>
      <c r="GM28" s="35">
        <v>5605.41</v>
      </c>
      <c r="GN28" s="72"/>
      <c r="GO28" s="73"/>
      <c r="GP28" s="35">
        <v>1238711</v>
      </c>
      <c r="GQ28" s="35">
        <v>977506</v>
      </c>
      <c r="GR28" s="72"/>
      <c r="GS28" s="73"/>
      <c r="GT28" s="35">
        <v>118859</v>
      </c>
      <c r="GU28" s="35"/>
      <c r="GV28" s="72"/>
      <c r="GW28" s="73"/>
      <c r="GX28" s="35">
        <f>10663.165+6030.47</f>
        <v>16693.635000000002</v>
      </c>
      <c r="GY28" s="35">
        <f>9714.434+4103.723</f>
        <v>13818.156999999999</v>
      </c>
      <c r="GZ28" s="72"/>
      <c r="HA28" s="73"/>
      <c r="HB28" s="35">
        <f>11.987+206851.174</f>
        <v>206863.16099999999</v>
      </c>
      <c r="HC28" s="35"/>
      <c r="HD28" s="72"/>
      <c r="HE28" s="73"/>
      <c r="HF28" s="35">
        <v>457625.91800000001</v>
      </c>
      <c r="HG28" s="35">
        <f>5519.908+240724.893</f>
        <v>246244.80100000001</v>
      </c>
      <c r="HH28" s="35">
        <f>3450.875+240724.839</f>
        <v>244175.71400000001</v>
      </c>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58" customFormat="1" x14ac:dyDescent="0.2">
      <c r="B29" s="78" t="s">
        <v>136</v>
      </c>
      <c r="C29" s="44"/>
      <c r="D29" s="45"/>
      <c r="E29" s="60">
        <f>E30-E28</f>
        <v>38958.820999999996</v>
      </c>
      <c r="F29" s="60">
        <f>F30-F28</f>
        <v>39659.329999999987</v>
      </c>
      <c r="G29" s="60">
        <f>G30-G28</f>
        <v>41815.333000000013</v>
      </c>
      <c r="H29" s="60">
        <f>H30-H28</f>
        <v>38921.01400000001</v>
      </c>
      <c r="I29" s="60"/>
      <c r="J29" s="44"/>
      <c r="K29" s="45"/>
      <c r="L29" s="61">
        <f>L30-L28</f>
        <v>1078.1129999999994</v>
      </c>
      <c r="M29" s="61">
        <f>M30-M28</f>
        <v>232</v>
      </c>
      <c r="N29" s="44"/>
      <c r="O29" s="45"/>
      <c r="P29" s="61">
        <f>P30-P28</f>
        <v>396.57099999999991</v>
      </c>
      <c r="Q29" s="61">
        <f>Q30-Q28</f>
        <v>623.3739999999998</v>
      </c>
      <c r="R29" s="61">
        <f>R30-R28</f>
        <v>3519.1290000000008</v>
      </c>
      <c r="S29" s="61">
        <f>S30-S28</f>
        <v>3687.1959999999999</v>
      </c>
      <c r="T29" s="61"/>
      <c r="U29" s="44"/>
      <c r="V29" s="45"/>
      <c r="W29" s="61">
        <f>W30-W28</f>
        <v>1814.6919999999991</v>
      </c>
      <c r="X29" s="61">
        <f>X30-X28</f>
        <v>2742.9079999999958</v>
      </c>
      <c r="Y29" s="61">
        <f>Y30-Y28</f>
        <v>1886.1419999999998</v>
      </c>
      <c r="Z29" s="61">
        <f>Z30-Z28</f>
        <v>3354.775999999998</v>
      </c>
      <c r="AA29" s="61"/>
      <c r="AB29" s="44"/>
      <c r="AC29" s="45"/>
      <c r="AD29" s="61">
        <f>AD30-AD28</f>
        <v>1286.0910000000003</v>
      </c>
      <c r="AE29" s="61">
        <f>AE30-AE28</f>
        <v>2478.7369999999992</v>
      </c>
      <c r="AF29" s="44"/>
      <c r="AG29" s="45"/>
      <c r="AH29" s="61">
        <f>AH30-AH28</f>
        <v>8505.1310000000012</v>
      </c>
      <c r="AI29" s="61">
        <f>AI30-AI28</f>
        <v>1904.2070000000003</v>
      </c>
      <c r="AJ29" s="44"/>
      <c r="AK29" s="45"/>
      <c r="AL29" s="61">
        <f>AL30-AL28</f>
        <v>778.1880000000001</v>
      </c>
      <c r="AM29" s="61">
        <f>AM30-AM28</f>
        <v>191.89100000000008</v>
      </c>
      <c r="AN29" s="61">
        <f>AN30-AN28</f>
        <v>644.67599999999993</v>
      </c>
      <c r="AO29" s="61"/>
      <c r="AP29" s="44"/>
      <c r="AQ29" s="45"/>
      <c r="AR29" s="61">
        <f>AR30-AR28</f>
        <v>233.37700000000041</v>
      </c>
      <c r="AS29" s="61">
        <f>AS30-AS28</f>
        <v>230.48199999999997</v>
      </c>
      <c r="AT29" s="61">
        <f>AT30-AT28</f>
        <v>655.37400000000071</v>
      </c>
      <c r="AU29" s="61">
        <f>AU30-AU28</f>
        <v>121.25800000000072</v>
      </c>
      <c r="AV29" s="61"/>
      <c r="AW29" s="44"/>
      <c r="AX29" s="45"/>
      <c r="AY29" s="61">
        <f>AY30-AY28</f>
        <v>82</v>
      </c>
      <c r="AZ29" s="61">
        <f>AZ30-AZ28</f>
        <v>401</v>
      </c>
      <c r="BA29" s="44"/>
      <c r="BB29" s="45"/>
      <c r="BC29" s="45">
        <v>29208.35</v>
      </c>
      <c r="BD29" s="45">
        <f>BD30-BD28</f>
        <v>33937.473000000027</v>
      </c>
      <c r="BE29" s="44"/>
      <c r="BF29" s="45"/>
      <c r="BG29" s="45">
        <f>BG30-BG28</f>
        <v>136569</v>
      </c>
      <c r="BH29" s="45">
        <f>BH30-BH28</f>
        <v>191981</v>
      </c>
      <c r="BI29" s="45">
        <f>BI30-BI28</f>
        <v>29263</v>
      </c>
      <c r="BJ29" s="45">
        <f>BJ30-BJ28</f>
        <v>55807</v>
      </c>
      <c r="BK29" s="45"/>
      <c r="BL29" s="44"/>
      <c r="BM29" s="45"/>
      <c r="BN29" s="45">
        <f>BN30-BN28</f>
        <v>2622.8050000000003</v>
      </c>
      <c r="BO29" s="45">
        <f>BO30-BO28</f>
        <v>1126.739999999998</v>
      </c>
      <c r="BP29" s="45">
        <f>BP30-BP28</f>
        <v>389.72800000000097</v>
      </c>
      <c r="BQ29" s="45">
        <f>BQ30-BQ28</f>
        <v>219.64600000000064</v>
      </c>
      <c r="BR29" s="45"/>
      <c r="BS29" s="44"/>
      <c r="BT29" s="45"/>
      <c r="BU29" s="45">
        <f>BU30-BU28</f>
        <v>227.00099999999929</v>
      </c>
      <c r="BV29" s="45">
        <f>BV30-BV28</f>
        <v>154.80999999999995</v>
      </c>
      <c r="BW29" s="44"/>
      <c r="BX29" s="45"/>
      <c r="BY29" s="45">
        <f>BY30-BY28</f>
        <v>54974</v>
      </c>
      <c r="BZ29" s="45">
        <f>BZ30-BZ28</f>
        <v>51173</v>
      </c>
      <c r="CA29" s="44"/>
      <c r="CB29" s="45"/>
      <c r="CC29" s="61">
        <f>CC30-CC28</f>
        <v>14331.998000000021</v>
      </c>
      <c r="CD29" s="61">
        <f>CD30-CD28</f>
        <v>3279.9970000000103</v>
      </c>
      <c r="CE29" s="61">
        <f>CE30-CE28</f>
        <v>3836.2929999999997</v>
      </c>
      <c r="CF29" s="61"/>
      <c r="CG29" s="44"/>
      <c r="CH29" s="45"/>
      <c r="CI29" s="61">
        <f>CI30-CI28</f>
        <v>8883</v>
      </c>
      <c r="CJ29" s="61">
        <f>CJ30-CJ28</f>
        <v>6506</v>
      </c>
      <c r="CK29" s="44"/>
      <c r="CL29" s="45"/>
      <c r="CM29" s="61">
        <f>CM30-CM28</f>
        <v>88.655999999999949</v>
      </c>
      <c r="CN29" s="61">
        <f>CN30-CN28</f>
        <v>788.28099999999995</v>
      </c>
      <c r="CO29" s="61"/>
      <c r="CP29" s="61"/>
      <c r="CQ29" s="61"/>
      <c r="CR29" s="44"/>
      <c r="CS29" s="45"/>
      <c r="CT29" s="61">
        <f>CT30-CT28</f>
        <v>413.779</v>
      </c>
      <c r="CU29" s="61">
        <f>CU30-CU28</f>
        <v>193.97740000000022</v>
      </c>
      <c r="CV29" s="44"/>
      <c r="CW29" s="45"/>
      <c r="CX29" s="61">
        <f>CX30-CX28</f>
        <v>212.63799999999992</v>
      </c>
      <c r="CY29" s="61">
        <f>CY30-CY28</f>
        <v>272.16500000000042</v>
      </c>
      <c r="CZ29" s="61"/>
      <c r="DA29" s="61"/>
      <c r="DB29" s="44"/>
      <c r="DC29" s="45"/>
      <c r="DD29" s="61">
        <f>DD30-DD28</f>
        <v>426.09900000000016</v>
      </c>
      <c r="DE29" s="61">
        <f>DE30-DE28</f>
        <v>-5.7369999999991705</v>
      </c>
      <c r="DF29" s="44"/>
      <c r="DG29" s="45"/>
      <c r="DH29" s="61">
        <f>DH30-DH28</f>
        <v>1746.676999999996</v>
      </c>
      <c r="DI29" s="61">
        <f>DI30-DI28</f>
        <v>414.11999999999534</v>
      </c>
      <c r="DJ29" s="61"/>
      <c r="DK29" s="61"/>
      <c r="DL29" s="61"/>
      <c r="DM29" s="44"/>
      <c r="DN29" s="45"/>
      <c r="DO29" s="61">
        <f>DO30-DO28</f>
        <v>68066</v>
      </c>
      <c r="DP29" s="61">
        <f>DP30-DP28</f>
        <v>38431</v>
      </c>
      <c r="DQ29" s="61"/>
      <c r="DR29" s="61"/>
      <c r="DS29" s="61"/>
      <c r="DT29" s="44"/>
      <c r="DU29" s="45"/>
      <c r="DV29" s="61">
        <f>DV30-DV28</f>
        <v>1304.3350000000009</v>
      </c>
      <c r="DW29" s="61">
        <f>DW30-DW28</f>
        <v>433.95600000000104</v>
      </c>
      <c r="DX29" s="44"/>
      <c r="DY29" s="45"/>
      <c r="DZ29" s="61">
        <f>DZ30-DZ28</f>
        <v>190458</v>
      </c>
      <c r="EA29" s="61">
        <f>EA30-EA28</f>
        <v>150532</v>
      </c>
      <c r="EB29" s="44"/>
      <c r="EC29" s="45"/>
      <c r="ED29" s="61">
        <f>ED30-ED28</f>
        <v>63998.523000000045</v>
      </c>
      <c r="EE29" s="61">
        <f>EE30-EE28</f>
        <v>42299.254000000015</v>
      </c>
      <c r="EF29" s="44"/>
      <c r="EG29" s="45"/>
      <c r="EH29" s="61">
        <f>EH30-EH28</f>
        <v>106.96900000000005</v>
      </c>
      <c r="EI29" s="61">
        <f>EI30-EI28</f>
        <v>148.44899999999961</v>
      </c>
      <c r="EJ29" s="44"/>
      <c r="EK29" s="45"/>
      <c r="EL29" s="61">
        <f>EL30-EL28</f>
        <v>14972</v>
      </c>
      <c r="EM29" s="61">
        <f>EM30-EM28</f>
        <v>8876</v>
      </c>
      <c r="EN29" s="44"/>
      <c r="EO29" s="45"/>
      <c r="EP29" s="61">
        <f>EP30-EP28</f>
        <v>11806.539000000001</v>
      </c>
      <c r="EQ29" s="61">
        <f>EQ30-EQ28</f>
        <v>10909.008000000002</v>
      </c>
      <c r="ER29" s="63"/>
      <c r="ES29" s="64"/>
      <c r="ET29" s="61">
        <f>ET30-ET28</f>
        <v>1694.8559999999998</v>
      </c>
      <c r="EU29" s="61">
        <f>EU30-EU28</f>
        <v>1327.1499999999942</v>
      </c>
      <c r="EV29" s="63"/>
      <c r="EW29" s="64"/>
      <c r="EX29" s="61">
        <f>EX30-EX28</f>
        <v>430.52500000000009</v>
      </c>
      <c r="EY29" s="61"/>
      <c r="EZ29" s="63"/>
      <c r="FA29" s="64"/>
      <c r="FB29" s="61">
        <f>FB30-FB28</f>
        <v>107.49399999999969</v>
      </c>
      <c r="FC29" s="61">
        <f>FC30-FC28</f>
        <v>81.721000000000004</v>
      </c>
      <c r="FD29" s="63"/>
      <c r="FE29" s="64"/>
      <c r="FF29" s="61">
        <f>FF30-FF28</f>
        <v>13283</v>
      </c>
      <c r="FG29" s="61">
        <f>FG30-FG28</f>
        <v>15557</v>
      </c>
      <c r="FH29" s="63"/>
      <c r="FI29" s="64"/>
      <c r="FJ29" s="61">
        <f>FJ30-FJ28</f>
        <v>303.66000000000349</v>
      </c>
      <c r="FK29" s="61">
        <f>FK30-FK28</f>
        <v>560.92599999999948</v>
      </c>
      <c r="FL29" s="63"/>
      <c r="FM29" s="64"/>
      <c r="FN29" s="61">
        <f>FN30-FN28</f>
        <v>3504.9909999999218</v>
      </c>
      <c r="FO29" s="61">
        <f>FO30-FO28</f>
        <v>9293.204000000027</v>
      </c>
      <c r="FP29" s="63"/>
      <c r="FQ29" s="64"/>
      <c r="FR29" s="61">
        <f>FR30-FR28</f>
        <v>3888.643</v>
      </c>
      <c r="FS29" s="61">
        <f>FS30-FS28</f>
        <v>6412.9110000000037</v>
      </c>
      <c r="FT29" s="63"/>
      <c r="FU29" s="64"/>
      <c r="FV29" s="61">
        <f>FV30-FV28</f>
        <v>220.68499999999949</v>
      </c>
      <c r="FW29" s="61">
        <f>FW30-FW28</f>
        <v>21.806999999999789</v>
      </c>
      <c r="FX29" s="63"/>
      <c r="FY29" s="64"/>
      <c r="FZ29" s="61">
        <f>FZ30-FZ28</f>
        <v>28555</v>
      </c>
      <c r="GA29" s="61">
        <f>GA30-GA28</f>
        <v>33056</v>
      </c>
      <c r="GB29" s="63"/>
      <c r="GC29" s="64"/>
      <c r="GD29" s="61">
        <f>GD30-GD28</f>
        <v>970.12100000000009</v>
      </c>
      <c r="GE29" s="61">
        <f>GE30-GE28</f>
        <v>1004.5050000000001</v>
      </c>
      <c r="GF29" s="63"/>
      <c r="GG29" s="64"/>
      <c r="GH29" s="61">
        <f>GH30-GH28</f>
        <v>158506.05799999999</v>
      </c>
      <c r="GI29" s="61">
        <f>GI30-GI28</f>
        <v>120103.09900000005</v>
      </c>
      <c r="GJ29" s="63"/>
      <c r="GK29" s="64"/>
      <c r="GL29" s="61">
        <f>GL30-GL28</f>
        <v>4738.0220000000008</v>
      </c>
      <c r="GM29" s="61">
        <f>GM30-GM28</f>
        <v>2969.7150000000001</v>
      </c>
      <c r="GN29" s="63"/>
      <c r="GO29" s="64"/>
      <c r="GP29" s="61">
        <f>GP30-GP28</f>
        <v>248445</v>
      </c>
      <c r="GQ29" s="61">
        <f>GQ30-GQ28</f>
        <v>172074</v>
      </c>
      <c r="GR29" s="63"/>
      <c r="GS29" s="64"/>
      <c r="GT29" s="61">
        <f>GT30-GT28</f>
        <v>1942</v>
      </c>
      <c r="GU29" s="61"/>
      <c r="GV29" s="63"/>
      <c r="GW29" s="64"/>
      <c r="GX29" s="61">
        <f>GX30-GX28</f>
        <v>2137.4179999999978</v>
      </c>
      <c r="GY29" s="61">
        <f>GY30-GY28</f>
        <v>2734.2960000000021</v>
      </c>
      <c r="GZ29" s="63"/>
      <c r="HA29" s="64"/>
      <c r="HB29" s="61">
        <f>HB30-HB28</f>
        <v>8429.0390000000189</v>
      </c>
      <c r="HC29" s="61"/>
      <c r="HD29" s="63"/>
      <c r="HE29" s="64"/>
      <c r="HF29" s="61">
        <f>HF30-HF28</f>
        <v>861.38199999998324</v>
      </c>
      <c r="HG29" s="61">
        <f>HG30-HG28</f>
        <v>50.783999999985099</v>
      </c>
      <c r="HH29" s="61">
        <f>HH30-HH28</f>
        <v>3.2529999999969732</v>
      </c>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74" customFormat="1" x14ac:dyDescent="0.2">
      <c r="A30" s="74" t="s">
        <v>137</v>
      </c>
      <c r="B30" s="33"/>
      <c r="C30" s="48"/>
      <c r="D30" s="49"/>
      <c r="E30" s="34">
        <f>211666.013</f>
        <v>211666.01300000001</v>
      </c>
      <c r="F30" s="34">
        <v>177359.57399999999</v>
      </c>
      <c r="G30" s="34">
        <f>152551.513</f>
        <v>152551.51300000001</v>
      </c>
      <c r="H30" s="34">
        <f>138432.048</f>
        <v>138432.04800000001</v>
      </c>
      <c r="I30" s="34"/>
      <c r="J30" s="37"/>
      <c r="K30" s="36"/>
      <c r="L30" s="35">
        <f>1976.939+2875.238</f>
        <v>4852.1769999999997</v>
      </c>
      <c r="M30" s="35">
        <f>1188+9160</f>
        <v>10348</v>
      </c>
      <c r="N30" s="48"/>
      <c r="O30" s="49"/>
      <c r="P30" s="35">
        <v>32293.571</v>
      </c>
      <c r="Q30" s="35">
        <v>29045.374</v>
      </c>
      <c r="R30" s="35">
        <v>27213.427</v>
      </c>
      <c r="S30" s="35">
        <v>30362.764999999999</v>
      </c>
      <c r="T30" s="35"/>
      <c r="U30" s="37"/>
      <c r="V30" s="36"/>
      <c r="W30" s="35">
        <v>29774.087</v>
      </c>
      <c r="X30" s="35">
        <v>24427.084999999999</v>
      </c>
      <c r="Y30" s="35">
        <f>21949.244</f>
        <v>21949.243999999999</v>
      </c>
      <c r="Z30" s="35">
        <v>19961.994999999999</v>
      </c>
      <c r="AA30" s="35"/>
      <c r="AB30" s="37"/>
      <c r="AC30" s="36"/>
      <c r="AD30" s="35">
        <v>12181.796</v>
      </c>
      <c r="AE30" s="35">
        <v>11636.213</v>
      </c>
      <c r="AF30" s="37"/>
      <c r="AG30" s="36"/>
      <c r="AH30" s="35">
        <v>36763.264999999999</v>
      </c>
      <c r="AI30" s="35">
        <v>8393.8119999999999</v>
      </c>
      <c r="AJ30" s="37"/>
      <c r="AK30" s="36"/>
      <c r="AL30" s="35">
        <v>5846.2910000000002</v>
      </c>
      <c r="AM30" s="35">
        <v>3670.1060000000002</v>
      </c>
      <c r="AN30" s="35">
        <f>1315.917</f>
        <v>1315.9169999999999</v>
      </c>
      <c r="AO30" s="35"/>
      <c r="AP30" s="37"/>
      <c r="AQ30" s="36"/>
      <c r="AR30" s="35">
        <f>14001.914</f>
        <v>14001.914000000001</v>
      </c>
      <c r="AS30" s="35">
        <f>10446.491</f>
        <v>10446.491</v>
      </c>
      <c r="AT30" s="35">
        <f>8724.763</f>
        <v>8724.7630000000008</v>
      </c>
      <c r="AU30" s="35">
        <f>6276.957</f>
        <v>6276.9570000000003</v>
      </c>
      <c r="AV30" s="35"/>
      <c r="AW30" s="37"/>
      <c r="AX30" s="36"/>
      <c r="AY30" s="35">
        <v>557134</v>
      </c>
      <c r="AZ30" s="35">
        <v>560320</v>
      </c>
      <c r="BA30" s="37"/>
      <c r="BB30" s="36"/>
      <c r="BC30" s="36">
        <f>SUM(BC28:BC29)</f>
        <v>122233.9</v>
      </c>
      <c r="BD30" s="36">
        <v>148321.81400000001</v>
      </c>
      <c r="BE30" s="37"/>
      <c r="BF30" s="36"/>
      <c r="BG30" s="36">
        <f>522829</f>
        <v>522829</v>
      </c>
      <c r="BH30" s="36">
        <v>512798</v>
      </c>
      <c r="BI30" s="36">
        <f>369177</f>
        <v>369177</v>
      </c>
      <c r="BJ30" s="36">
        <f>194547</f>
        <v>194547</v>
      </c>
      <c r="BK30" s="36"/>
      <c r="BL30" s="37"/>
      <c r="BM30" s="36"/>
      <c r="BN30" s="36">
        <v>27232.792000000001</v>
      </c>
      <c r="BO30" s="36">
        <v>24514.191999999999</v>
      </c>
      <c r="BP30" s="36">
        <f>15168.4</f>
        <v>15168.4</v>
      </c>
      <c r="BQ30" s="36">
        <f>9226.91</f>
        <v>9226.91</v>
      </c>
      <c r="BR30" s="36"/>
      <c r="BS30" s="37"/>
      <c r="BT30" s="36"/>
      <c r="BU30" s="36">
        <v>5200.0429999999997</v>
      </c>
      <c r="BV30" s="36">
        <v>3693.884</v>
      </c>
      <c r="BW30" s="37"/>
      <c r="BX30" s="36"/>
      <c r="BY30" s="35">
        <f>54974</f>
        <v>54974</v>
      </c>
      <c r="BZ30" s="35">
        <v>51173</v>
      </c>
      <c r="CA30" s="37"/>
      <c r="CB30" s="36"/>
      <c r="CC30" s="35">
        <v>127045.68700000001</v>
      </c>
      <c r="CD30" s="35">
        <v>38561.374000000003</v>
      </c>
      <c r="CE30" s="35">
        <f>16408.611</f>
        <v>16408.611000000001</v>
      </c>
      <c r="CF30" s="35"/>
      <c r="CG30" s="37"/>
      <c r="CH30" s="36"/>
      <c r="CI30" s="35">
        <v>40242</v>
      </c>
      <c r="CJ30" s="35">
        <v>41332</v>
      </c>
      <c r="CK30" s="37"/>
      <c r="CL30" s="36"/>
      <c r="CM30" s="35">
        <v>6915.4679999999998</v>
      </c>
      <c r="CN30" s="35">
        <v>6958.8940000000002</v>
      </c>
      <c r="CO30" s="35"/>
      <c r="CP30" s="35"/>
      <c r="CQ30" s="35"/>
      <c r="CR30" s="37"/>
      <c r="CS30" s="36"/>
      <c r="CT30" s="35">
        <f>3607.345+17.221</f>
        <v>3624.5659999999998</v>
      </c>
      <c r="CU30" s="35">
        <f>3414.178+577.5244</f>
        <v>3991.7024000000001</v>
      </c>
      <c r="CV30" s="37"/>
      <c r="CW30" s="36"/>
      <c r="CX30" s="35">
        <v>7790.1329999999998</v>
      </c>
      <c r="CY30" s="35">
        <v>2971.0250000000001</v>
      </c>
      <c r="CZ30" s="35"/>
      <c r="DA30" s="35"/>
      <c r="DB30" s="31"/>
      <c r="DC30" s="30"/>
      <c r="DD30" s="35">
        <v>14952.263000000001</v>
      </c>
      <c r="DE30" s="35">
        <v>13898.593000000001</v>
      </c>
      <c r="DF30" s="31"/>
      <c r="DG30" s="30"/>
      <c r="DH30" s="35">
        <v>113423.05100000001</v>
      </c>
      <c r="DI30" s="35">
        <v>89862.167000000001</v>
      </c>
      <c r="DJ30" s="35"/>
      <c r="DK30" s="35"/>
      <c r="DL30" s="35"/>
      <c r="DM30" s="37"/>
      <c r="DN30" s="36"/>
      <c r="DO30" s="35">
        <v>306100</v>
      </c>
      <c r="DP30" s="35">
        <v>224765</v>
      </c>
      <c r="DQ30" s="35"/>
      <c r="DR30" s="35"/>
      <c r="DS30" s="35"/>
      <c r="DT30" s="37"/>
      <c r="DU30" s="36"/>
      <c r="DV30" s="35">
        <f>4913.884+1716.895</f>
        <v>6630.7790000000005</v>
      </c>
      <c r="DW30" s="35">
        <f>3330.956+2663.021</f>
        <v>5993.9770000000008</v>
      </c>
      <c r="DX30" s="37"/>
      <c r="DY30" s="36"/>
      <c r="DZ30" s="35">
        <v>690847</v>
      </c>
      <c r="EA30" s="35">
        <v>578517</v>
      </c>
      <c r="EB30" s="37"/>
      <c r="EC30" s="36"/>
      <c r="ED30" s="35">
        <f>63932.586+218670.238</f>
        <v>282602.82400000002</v>
      </c>
      <c r="EE30" s="35">
        <f>42259.983+185036.399</f>
        <v>227296.38200000001</v>
      </c>
      <c r="EF30" s="37"/>
      <c r="EG30" s="36"/>
      <c r="EH30" s="35">
        <f>5963.658</f>
        <v>5963.6580000000004</v>
      </c>
      <c r="EI30" s="35">
        <f>4549.508</f>
        <v>4549.5079999999998</v>
      </c>
      <c r="EJ30" s="37"/>
      <c r="EK30" s="36"/>
      <c r="EL30" s="35">
        <f>54474</f>
        <v>54474</v>
      </c>
      <c r="EM30" s="35">
        <f>46125</f>
        <v>46125</v>
      </c>
      <c r="EN30" s="37"/>
      <c r="EO30" s="36"/>
      <c r="EP30" s="35">
        <v>31986.859</v>
      </c>
      <c r="EQ30" s="35">
        <v>25172.205000000002</v>
      </c>
      <c r="ER30" s="72"/>
      <c r="ES30" s="73"/>
      <c r="ET30" s="35">
        <f>49006.039</f>
        <v>49006.038999999997</v>
      </c>
      <c r="EU30" s="35">
        <f>37705.359</f>
        <v>37705.358999999997</v>
      </c>
      <c r="EV30" s="72"/>
      <c r="EW30" s="73"/>
      <c r="EX30" s="35">
        <f>976.919+294.011</f>
        <v>1270.93</v>
      </c>
      <c r="EY30" s="35"/>
      <c r="EZ30" s="72"/>
      <c r="FA30" s="73"/>
      <c r="FB30" s="35">
        <f>3271.487</f>
        <v>3271.4870000000001</v>
      </c>
      <c r="FC30" s="35">
        <f>3022.232</f>
        <v>3022.232</v>
      </c>
      <c r="FD30" s="72"/>
      <c r="FE30" s="73"/>
      <c r="FF30" s="35">
        <f>271584</f>
        <v>271584</v>
      </c>
      <c r="FG30" s="35">
        <v>266404</v>
      </c>
      <c r="FH30" s="72"/>
      <c r="FI30" s="73"/>
      <c r="FJ30" s="35">
        <v>32928.671000000002</v>
      </c>
      <c r="FK30" s="35">
        <v>20201.706999999999</v>
      </c>
      <c r="FL30" s="72"/>
      <c r="FM30" s="73"/>
      <c r="FN30" s="35">
        <f>854392.744</f>
        <v>854392.74399999995</v>
      </c>
      <c r="FO30" s="35">
        <f>746499.975</f>
        <v>746499.97499999998</v>
      </c>
      <c r="FP30" s="72"/>
      <c r="FQ30" s="73"/>
      <c r="FR30" s="35">
        <f>28390.5</f>
        <v>28390.5</v>
      </c>
      <c r="FS30" s="35">
        <v>28788.577000000001</v>
      </c>
      <c r="FT30" s="72"/>
      <c r="FU30" s="73"/>
      <c r="FV30" s="35">
        <f>5796.44</f>
        <v>5796.44</v>
      </c>
      <c r="FW30" s="35">
        <f>4752.69</f>
        <v>4752.6899999999996</v>
      </c>
      <c r="FX30" s="72"/>
      <c r="FY30" s="73"/>
      <c r="FZ30" s="35">
        <v>171608</v>
      </c>
      <c r="GA30" s="35">
        <v>171944</v>
      </c>
      <c r="GB30" s="72"/>
      <c r="GC30" s="73"/>
      <c r="GD30" s="35">
        <f>1218.738</f>
        <v>1218.7380000000001</v>
      </c>
      <c r="GE30" s="35">
        <v>1047.2940000000001</v>
      </c>
      <c r="GF30" s="72"/>
      <c r="GG30" s="73"/>
      <c r="GH30" s="35">
        <f>380021.137</f>
        <v>380021.13699999999</v>
      </c>
      <c r="GI30" s="35">
        <v>425465.14500000002</v>
      </c>
      <c r="GJ30" s="72"/>
      <c r="GK30" s="73"/>
      <c r="GL30" s="35">
        <f>31368.802</f>
        <v>31368.802</v>
      </c>
      <c r="GM30" s="35">
        <v>8575.125</v>
      </c>
      <c r="GN30" s="72"/>
      <c r="GO30" s="73"/>
      <c r="GP30" s="35">
        <f>1487156</f>
        <v>1487156</v>
      </c>
      <c r="GQ30" s="35">
        <v>1149580</v>
      </c>
      <c r="GR30" s="72"/>
      <c r="GS30" s="73"/>
      <c r="GT30" s="35">
        <v>120801</v>
      </c>
      <c r="GU30" s="35"/>
      <c r="GV30" s="72"/>
      <c r="GW30" s="73"/>
      <c r="GX30" s="35">
        <f>18831.053</f>
        <v>18831.053</v>
      </c>
      <c r="GY30" s="35">
        <f>16552.453</f>
        <v>16552.453000000001</v>
      </c>
      <c r="GZ30" s="72"/>
      <c r="HA30" s="73"/>
      <c r="HB30" s="35">
        <f>215292.2</f>
        <v>215292.2</v>
      </c>
      <c r="HC30" s="35"/>
      <c r="HD30" s="72"/>
      <c r="HE30" s="73"/>
      <c r="HF30" s="35">
        <v>458487.3</v>
      </c>
      <c r="HG30" s="35">
        <f>246295.585</f>
        <v>246295.58499999999</v>
      </c>
      <c r="HH30" s="35">
        <v>244178.967</v>
      </c>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74" customFormat="1" x14ac:dyDescent="0.2">
      <c r="B31" s="33"/>
      <c r="C31" s="48"/>
      <c r="D31" s="49"/>
      <c r="E31" s="34"/>
      <c r="F31" s="34"/>
      <c r="G31" s="34"/>
      <c r="H31" s="34"/>
      <c r="I31" s="34"/>
      <c r="J31" s="37"/>
      <c r="K31" s="36"/>
      <c r="L31" s="35"/>
      <c r="M31" s="35"/>
      <c r="N31" s="48"/>
      <c r="O31" s="49"/>
      <c r="P31" s="35"/>
      <c r="Q31" s="35"/>
      <c r="R31" s="35"/>
      <c r="S31" s="35"/>
      <c r="T31" s="35"/>
      <c r="U31" s="37"/>
      <c r="V31" s="36"/>
      <c r="W31" s="35"/>
      <c r="X31" s="35"/>
      <c r="Y31" s="35"/>
      <c r="Z31" s="35"/>
      <c r="AA31" s="35"/>
      <c r="AB31" s="37"/>
      <c r="AC31" s="36"/>
      <c r="AD31" s="35"/>
      <c r="AE31" s="35"/>
      <c r="AF31" s="37"/>
      <c r="AG31" s="36"/>
      <c r="AH31" s="35"/>
      <c r="AI31" s="35"/>
      <c r="AJ31" s="37"/>
      <c r="AK31" s="36"/>
      <c r="AL31" s="35"/>
      <c r="AM31" s="35"/>
      <c r="AN31" s="35"/>
      <c r="AO31" s="35"/>
      <c r="AP31" s="37"/>
      <c r="AQ31" s="36"/>
      <c r="AR31" s="35"/>
      <c r="AS31" s="35"/>
      <c r="AT31" s="35"/>
      <c r="AU31" s="35"/>
      <c r="AV31" s="35"/>
      <c r="AW31" s="37"/>
      <c r="AX31" s="36"/>
      <c r="AY31" s="35"/>
      <c r="AZ31" s="35"/>
      <c r="BA31" s="37"/>
      <c r="BB31" s="36"/>
      <c r="BC31" s="36"/>
      <c r="BD31" s="36"/>
      <c r="BE31" s="37"/>
      <c r="BF31" s="36"/>
      <c r="BG31" s="36"/>
      <c r="BH31" s="36"/>
      <c r="BI31" s="36"/>
      <c r="BJ31" s="36"/>
      <c r="BK31" s="36"/>
      <c r="BL31" s="37"/>
      <c r="BM31" s="36"/>
      <c r="BN31" s="36"/>
      <c r="BO31" s="36"/>
      <c r="BP31" s="36"/>
      <c r="BQ31" s="36"/>
      <c r="BR31" s="36"/>
      <c r="BS31" s="37"/>
      <c r="BT31" s="36"/>
      <c r="BU31" s="36"/>
      <c r="BV31" s="36"/>
      <c r="BW31" s="37"/>
      <c r="BX31" s="36"/>
      <c r="BY31" s="35"/>
      <c r="BZ31" s="35"/>
      <c r="CA31" s="37"/>
      <c r="CB31" s="36"/>
      <c r="CC31" s="35"/>
      <c r="CD31" s="35"/>
      <c r="CE31" s="35"/>
      <c r="CF31" s="35"/>
      <c r="CG31" s="37"/>
      <c r="CH31" s="36"/>
      <c r="CI31" s="35"/>
      <c r="CJ31" s="35"/>
      <c r="CK31" s="37"/>
      <c r="CL31" s="36"/>
      <c r="CM31" s="35"/>
      <c r="CN31" s="35"/>
      <c r="CO31" s="35"/>
      <c r="CP31" s="35"/>
      <c r="CQ31" s="35"/>
      <c r="CR31" s="37"/>
      <c r="CS31" s="36"/>
      <c r="CT31" s="35"/>
      <c r="CU31" s="35"/>
      <c r="CV31" s="37"/>
      <c r="CW31" s="36"/>
      <c r="CX31" s="35"/>
      <c r="CY31" s="35"/>
      <c r="CZ31" s="35"/>
      <c r="DA31" s="35"/>
      <c r="DB31" s="31"/>
      <c r="DC31" s="30"/>
      <c r="DD31" s="35"/>
      <c r="DE31" s="35"/>
      <c r="DF31" s="31"/>
      <c r="DG31" s="30"/>
      <c r="DH31" s="35"/>
      <c r="DI31" s="35"/>
      <c r="DJ31" s="35"/>
      <c r="DK31" s="35"/>
      <c r="DL31" s="35"/>
      <c r="DM31" s="37"/>
      <c r="DN31" s="36"/>
      <c r="DO31" s="35"/>
      <c r="DP31" s="35"/>
      <c r="DQ31" s="35"/>
      <c r="DR31" s="35"/>
      <c r="DS31" s="35"/>
      <c r="DT31" s="37"/>
      <c r="DU31" s="36"/>
      <c r="DV31" s="35"/>
      <c r="DW31" s="35"/>
      <c r="DX31" s="37"/>
      <c r="DY31" s="36"/>
      <c r="DZ31" s="35"/>
      <c r="EA31" s="35"/>
      <c r="EB31" s="37"/>
      <c r="EC31" s="36"/>
      <c r="ED31" s="35"/>
      <c r="EE31" s="35"/>
      <c r="EF31" s="37"/>
      <c r="EG31" s="36"/>
      <c r="EH31" s="35"/>
      <c r="EI31" s="35"/>
      <c r="EJ31" s="37"/>
      <c r="EK31" s="36"/>
      <c r="EL31" s="35"/>
      <c r="EM31" s="35"/>
      <c r="EN31" s="37"/>
      <c r="EO31" s="36"/>
      <c r="EP31" s="35"/>
      <c r="EQ31" s="35"/>
      <c r="ER31" s="72"/>
      <c r="ES31" s="73"/>
      <c r="ET31" s="35"/>
      <c r="EU31" s="35"/>
      <c r="EV31" s="72"/>
      <c r="EW31" s="73"/>
      <c r="EX31" s="35"/>
      <c r="EY31" s="35"/>
      <c r="EZ31" s="72"/>
      <c r="FA31" s="73"/>
      <c r="FB31" s="35"/>
      <c r="FC31" s="35"/>
      <c r="FD31" s="72"/>
      <c r="FE31" s="73"/>
      <c r="FF31" s="35"/>
      <c r="FG31" s="35"/>
      <c r="FH31" s="72"/>
      <c r="FI31" s="73"/>
      <c r="FJ31" s="35"/>
      <c r="FK31" s="35"/>
      <c r="FL31" s="72"/>
      <c r="FM31" s="73"/>
      <c r="FN31" s="35"/>
      <c r="FO31" s="35"/>
      <c r="FP31" s="72"/>
      <c r="FQ31" s="73"/>
      <c r="FR31" s="35"/>
      <c r="FS31" s="35"/>
      <c r="FT31" s="72"/>
      <c r="FU31" s="73"/>
      <c r="FV31" s="35"/>
      <c r="FW31" s="35"/>
      <c r="FX31" s="72"/>
      <c r="FY31" s="73"/>
      <c r="FZ31" s="35"/>
      <c r="GA31" s="35"/>
      <c r="GB31" s="72"/>
      <c r="GC31" s="73"/>
      <c r="GD31" s="35"/>
      <c r="GE31" s="35"/>
      <c r="GF31" s="72"/>
      <c r="GG31" s="73"/>
      <c r="GH31" s="35"/>
      <c r="GI31" s="35"/>
      <c r="GJ31" s="72"/>
      <c r="GK31" s="73"/>
      <c r="GL31" s="35"/>
      <c r="GM31" s="35"/>
      <c r="GN31" s="72"/>
      <c r="GO31" s="73"/>
      <c r="GP31" s="35"/>
      <c r="GQ31" s="35"/>
      <c r="GR31" s="72"/>
      <c r="GS31" s="73"/>
      <c r="GT31" s="35"/>
      <c r="GU31" s="35"/>
      <c r="GV31" s="72"/>
      <c r="GW31" s="73"/>
      <c r="GX31" s="35"/>
      <c r="GY31" s="35"/>
      <c r="GZ31" s="72"/>
      <c r="HA31" s="73"/>
      <c r="HB31" s="35"/>
      <c r="HC31" s="35"/>
      <c r="HD31" s="72"/>
      <c r="HE31" s="73"/>
      <c r="HF31" s="35"/>
      <c r="HG31" s="35"/>
      <c r="HH31" s="35"/>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6" customFormat="1" ht="12.75" customHeight="1" x14ac:dyDescent="0.2">
      <c r="A32" s="6" t="s">
        <v>138</v>
      </c>
      <c r="B32" s="65"/>
      <c r="C32" s="28"/>
      <c r="D32" s="29"/>
      <c r="E32" s="57"/>
      <c r="F32" s="57"/>
      <c r="G32" s="57"/>
      <c r="H32" s="57"/>
      <c r="I32" s="57"/>
      <c r="J32" s="28"/>
      <c r="K32" s="29"/>
      <c r="L32" s="56"/>
      <c r="M32" s="56"/>
      <c r="N32" s="28"/>
      <c r="O32" s="29"/>
      <c r="P32" s="56"/>
      <c r="Q32" s="56"/>
      <c r="R32" s="56"/>
      <c r="S32" s="56"/>
      <c r="T32" s="56"/>
      <c r="U32" s="28"/>
      <c r="V32" s="29"/>
      <c r="W32" s="56"/>
      <c r="X32" s="56"/>
      <c r="Y32" s="56"/>
      <c r="Z32" s="56"/>
      <c r="AA32" s="56"/>
      <c r="AB32" s="28"/>
      <c r="AC32" s="29"/>
      <c r="AD32" s="56"/>
      <c r="AE32" s="56"/>
      <c r="AF32" s="28"/>
      <c r="AG32" s="29"/>
      <c r="AH32" s="56"/>
      <c r="AI32" s="56"/>
      <c r="AJ32" s="28"/>
      <c r="AK32" s="29"/>
      <c r="AL32" s="56"/>
      <c r="AM32" s="56"/>
      <c r="AN32" s="56"/>
      <c r="AO32" s="56"/>
      <c r="AP32" s="28"/>
      <c r="AQ32" s="29"/>
      <c r="AR32" s="56"/>
      <c r="AS32" s="56"/>
      <c r="AT32" s="56"/>
      <c r="AU32" s="56"/>
      <c r="AV32" s="56"/>
      <c r="AW32" s="28"/>
      <c r="AX32" s="29"/>
      <c r="AY32" s="56"/>
      <c r="AZ32" s="56"/>
      <c r="BA32" s="28"/>
      <c r="BB32" s="29"/>
      <c r="BC32" s="49"/>
      <c r="BD32" s="49"/>
      <c r="BE32" s="28"/>
      <c r="BF32" s="29"/>
      <c r="BG32" s="49"/>
      <c r="BH32" s="49"/>
      <c r="BI32" s="49"/>
      <c r="BJ32" s="49"/>
      <c r="BK32" s="49"/>
      <c r="BL32" s="28"/>
      <c r="BM32" s="29"/>
      <c r="BN32" s="49"/>
      <c r="BO32" s="49"/>
      <c r="BP32" s="49"/>
      <c r="BQ32" s="49"/>
      <c r="BR32" s="49"/>
      <c r="BS32" s="28"/>
      <c r="BT32" s="49"/>
      <c r="BU32" s="49"/>
      <c r="BV32" s="49"/>
      <c r="BW32" s="28"/>
      <c r="BX32" s="29"/>
      <c r="BY32" s="56"/>
      <c r="BZ32" s="56"/>
      <c r="CA32" s="48"/>
      <c r="CB32" s="49"/>
      <c r="CC32" s="56"/>
      <c r="CD32" s="56"/>
      <c r="CE32" s="56"/>
      <c r="CF32" s="56"/>
      <c r="CG32" s="28"/>
      <c r="CH32" s="29"/>
      <c r="CI32" s="56"/>
      <c r="CJ32" s="56"/>
      <c r="CK32" s="28"/>
      <c r="CL32" s="29"/>
      <c r="CM32" s="56"/>
      <c r="CN32" s="56"/>
      <c r="CO32" s="56"/>
      <c r="CP32" s="56"/>
      <c r="CQ32" s="56"/>
      <c r="CR32" s="28"/>
      <c r="CS32" s="29"/>
      <c r="CT32" s="56"/>
      <c r="CV32" s="28"/>
      <c r="CW32" s="29"/>
      <c r="CX32" s="56"/>
      <c r="DB32" s="28"/>
      <c r="DC32" s="29"/>
      <c r="DD32" s="56"/>
      <c r="DE32" s="56"/>
      <c r="DF32" s="28"/>
      <c r="DG32" s="29"/>
      <c r="DH32" s="56"/>
      <c r="DI32" s="56"/>
      <c r="DJ32" s="56"/>
      <c r="DK32" s="56"/>
      <c r="DL32" s="56"/>
      <c r="DM32" s="28"/>
      <c r="DN32" s="29"/>
      <c r="DO32" s="56"/>
      <c r="DP32" s="56"/>
      <c r="DQ32" s="56"/>
      <c r="DR32" s="56"/>
      <c r="DS32" s="56"/>
      <c r="DT32" s="28"/>
      <c r="DU32" s="29"/>
      <c r="DV32" s="56"/>
      <c r="DW32" s="56"/>
      <c r="DX32" s="28"/>
      <c r="DY32" s="29"/>
      <c r="DZ32" s="56"/>
      <c r="EA32" s="56"/>
      <c r="EB32" s="28"/>
      <c r="EC32" s="29"/>
      <c r="ED32" s="56"/>
      <c r="EF32" s="28"/>
      <c r="EG32" s="29"/>
      <c r="EH32" s="56"/>
      <c r="EJ32" s="28"/>
      <c r="EK32" s="29"/>
      <c r="EL32" s="56"/>
      <c r="EN32" s="28"/>
      <c r="EO32" s="29"/>
      <c r="EP32" s="56"/>
      <c r="ER32" s="7"/>
      <c r="ES32" s="8"/>
      <c r="ET32" s="56"/>
      <c r="EV32" s="7"/>
      <c r="EW32" s="8"/>
      <c r="EX32" s="56"/>
      <c r="EY32" s="56"/>
      <c r="EZ32" s="7"/>
      <c r="FA32" s="8"/>
      <c r="FB32" s="56"/>
      <c r="FD32" s="7"/>
      <c r="FE32" s="8"/>
      <c r="FF32" s="56"/>
      <c r="FH32" s="7"/>
      <c r="FI32" s="8"/>
      <c r="FJ32" s="56"/>
      <c r="FL32" s="7"/>
      <c r="FM32" s="8"/>
      <c r="FN32" s="56"/>
      <c r="FP32" s="7"/>
      <c r="FQ32" s="8"/>
      <c r="FR32" s="56"/>
      <c r="FT32" s="7"/>
      <c r="FU32" s="8"/>
      <c r="FV32" s="56"/>
      <c r="FX32" s="7"/>
      <c r="FY32" s="8"/>
      <c r="FZ32" s="56"/>
      <c r="GB32" s="7"/>
      <c r="GC32" s="8"/>
      <c r="GD32" s="56"/>
      <c r="GF32" s="7"/>
      <c r="GG32" s="8"/>
      <c r="GH32" s="56"/>
      <c r="GJ32" s="7"/>
      <c r="GK32" s="8"/>
      <c r="GL32" s="56"/>
      <c r="GN32" s="7"/>
      <c r="GO32" s="8"/>
      <c r="GP32" s="56"/>
      <c r="GR32" s="7"/>
      <c r="GS32" s="8"/>
      <c r="GT32" s="56"/>
      <c r="GV32" s="7"/>
      <c r="GW32" s="8"/>
      <c r="GX32" s="56"/>
      <c r="GZ32" s="7"/>
      <c r="HA32" s="8"/>
      <c r="HB32" s="56"/>
      <c r="HD32" s="7"/>
      <c r="HE32" s="8"/>
      <c r="HF32" s="56"/>
      <c r="HG32" s="56"/>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6" customFormat="1" ht="12.75" customHeight="1" x14ac:dyDescent="0.2">
      <c r="A33" s="75"/>
      <c r="B33" s="33" t="s">
        <v>139</v>
      </c>
      <c r="C33" s="28"/>
      <c r="D33" s="29"/>
      <c r="E33" s="57">
        <f>31907.142+156160.81</f>
        <v>188067.95199999999</v>
      </c>
      <c r="F33" s="57">
        <f>29230.364+127003.344</f>
        <v>156233.70799999998</v>
      </c>
      <c r="G33" s="57">
        <f>27625.961+104876.35</f>
        <v>132502.31100000002</v>
      </c>
      <c r="H33" s="57">
        <f>22650.431+98807.346</f>
        <v>121457.777</v>
      </c>
      <c r="I33" s="57"/>
      <c r="J33" s="28"/>
      <c r="K33" s="29"/>
      <c r="L33" s="56">
        <v>355.90300000000002</v>
      </c>
      <c r="M33" s="54">
        <v>0</v>
      </c>
      <c r="N33" s="28"/>
      <c r="O33" s="29"/>
      <c r="P33" s="56">
        <v>14619.357</v>
      </c>
      <c r="Q33" s="56">
        <v>13270.200999999999</v>
      </c>
      <c r="R33" s="56">
        <f>14285.218+1164.259</f>
        <v>15449.477000000001</v>
      </c>
      <c r="S33" s="56">
        <f>14349.048+1846.548</f>
        <v>16195.596000000001</v>
      </c>
      <c r="T33" s="56"/>
      <c r="U33" s="28"/>
      <c r="V33" s="29"/>
      <c r="W33" s="56">
        <f>2819.59+11296.057</f>
        <v>14115.647000000001</v>
      </c>
      <c r="X33" s="56">
        <f>1106.726+6515.157</f>
        <v>7621.8829999999998</v>
      </c>
      <c r="Y33" s="56">
        <f>1000.937+9849.027</f>
        <v>10849.964</v>
      </c>
      <c r="Z33" s="56">
        <f>618.823+7567.576</f>
        <v>8186.3990000000003</v>
      </c>
      <c r="AA33" s="56"/>
      <c r="AB33" s="28"/>
      <c r="AC33" s="29"/>
      <c r="AD33" s="56">
        <f>5019.26+71.351</f>
        <v>5090.6109999999999</v>
      </c>
      <c r="AE33" s="56">
        <f>6215.829+695.112</f>
        <v>6910.9409999999998</v>
      </c>
      <c r="AF33" s="28"/>
      <c r="AG33" s="29"/>
      <c r="AH33" s="56">
        <f>20095.375+1081.092</f>
        <v>21176.467000000001</v>
      </c>
      <c r="AI33" s="56">
        <f>3548.603+695</f>
        <v>4243.6030000000001</v>
      </c>
      <c r="AJ33" s="28"/>
      <c r="AK33" s="29"/>
      <c r="AL33" s="56">
        <v>2910.6579999999999</v>
      </c>
      <c r="AM33" s="56">
        <v>1636.356</v>
      </c>
      <c r="AN33" s="56">
        <v>361.15199999999999</v>
      </c>
      <c r="AO33" s="56"/>
      <c r="AP33" s="28"/>
      <c r="AQ33" s="29"/>
      <c r="AR33" s="56">
        <f>98.102+9373.309</f>
        <v>9471.4110000000001</v>
      </c>
      <c r="AS33" s="56">
        <f>6437.067</f>
        <v>6437.067</v>
      </c>
      <c r="AT33" s="56">
        <f>5188.225</f>
        <v>5188.2250000000004</v>
      </c>
      <c r="AU33" s="56">
        <v>3687.8130000000001</v>
      </c>
      <c r="AV33" s="56"/>
      <c r="AW33" s="28"/>
      <c r="AX33" s="29"/>
      <c r="AY33" s="56">
        <v>140157</v>
      </c>
      <c r="AZ33" s="56">
        <v>186592</v>
      </c>
      <c r="BA33" s="28"/>
      <c r="BB33" s="29"/>
      <c r="BC33" s="49">
        <v>0</v>
      </c>
      <c r="BD33" s="49">
        <v>104004.49</v>
      </c>
      <c r="BE33" s="28"/>
      <c r="BF33" s="29"/>
      <c r="BG33" s="49">
        <v>251713</v>
      </c>
      <c r="BH33" s="49">
        <v>279986</v>
      </c>
      <c r="BI33" s="49">
        <v>175900</v>
      </c>
      <c r="BJ33" s="49">
        <f>0</f>
        <v>0</v>
      </c>
      <c r="BK33" s="49"/>
      <c r="BL33" s="28"/>
      <c r="BM33" s="29"/>
      <c r="BN33" s="49">
        <f>6388.027+3190.238</f>
        <v>9578.2649999999994</v>
      </c>
      <c r="BO33" s="49">
        <f>2517.057+2953.302</f>
        <v>5470.3590000000004</v>
      </c>
      <c r="BP33" s="49">
        <f>650.581</f>
        <v>650.58100000000002</v>
      </c>
      <c r="BQ33" s="49">
        <v>0</v>
      </c>
      <c r="BR33" s="49"/>
      <c r="BS33" s="28"/>
      <c r="BT33" s="49"/>
      <c r="BU33" s="49">
        <f>1549.838+784.007</f>
        <v>2333.8449999999998</v>
      </c>
      <c r="BV33" s="49">
        <f>1368.528+583.597</f>
        <v>1952.125</v>
      </c>
      <c r="BW33" s="28"/>
      <c r="BX33" s="29"/>
      <c r="BY33" s="56">
        <f>20890+534</f>
        <v>21424</v>
      </c>
      <c r="BZ33" s="56">
        <f>16605+734</f>
        <v>17339</v>
      </c>
      <c r="CA33" s="48"/>
      <c r="CB33" s="49"/>
      <c r="CC33" s="56">
        <f>55962.907+23237.955</f>
        <v>79200.861999999994</v>
      </c>
      <c r="CD33" s="56">
        <f>14981.434+2979.421</f>
        <v>17960.855</v>
      </c>
      <c r="CE33" s="56">
        <f>8922.671+1480.44</f>
        <v>10403.111000000001</v>
      </c>
      <c r="CF33" s="56"/>
      <c r="CG33" s="28"/>
      <c r="CH33" s="29"/>
      <c r="CI33" s="56">
        <v>10790</v>
      </c>
      <c r="CJ33" s="35">
        <v>13427</v>
      </c>
      <c r="CK33" s="28"/>
      <c r="CL33" s="29"/>
      <c r="CM33" s="56">
        <v>3493.5680000000002</v>
      </c>
      <c r="CN33" s="35">
        <v>4189.616</v>
      </c>
      <c r="CO33" s="35"/>
      <c r="CP33" s="35"/>
      <c r="CQ33" s="35"/>
      <c r="CR33" s="28"/>
      <c r="CS33" s="29"/>
      <c r="CT33" s="56">
        <v>1564.481</v>
      </c>
      <c r="CU33" s="56">
        <v>3346.7640000000001</v>
      </c>
      <c r="CV33" s="28"/>
      <c r="CW33" s="29"/>
      <c r="CX33" s="56">
        <v>2710.998</v>
      </c>
      <c r="CY33" s="56">
        <v>25</v>
      </c>
      <c r="CZ33" s="56"/>
      <c r="DA33" s="56"/>
      <c r="DB33" s="28"/>
      <c r="DC33" s="29"/>
      <c r="DD33" s="56">
        <v>25</v>
      </c>
      <c r="DE33" s="56">
        <v>23.972000000000001</v>
      </c>
      <c r="DF33" s="28"/>
      <c r="DG33" s="29"/>
      <c r="DH33" s="56">
        <v>63780.843999999997</v>
      </c>
      <c r="DI33" s="56">
        <v>42765.569000000003</v>
      </c>
      <c r="DJ33" s="56"/>
      <c r="DK33" s="56"/>
      <c r="DL33" s="56"/>
      <c r="DM33" s="28"/>
      <c r="DN33" s="29"/>
      <c r="DO33" s="56">
        <f>137265+20454</f>
        <v>157719</v>
      </c>
      <c r="DP33" s="56">
        <f>104649+9379</f>
        <v>114028</v>
      </c>
      <c r="DQ33" s="56"/>
      <c r="DR33" s="56"/>
      <c r="DS33" s="56"/>
      <c r="DT33" s="28"/>
      <c r="DU33" s="29"/>
      <c r="DV33" s="56">
        <f>3786.434</f>
        <v>3786.4340000000002</v>
      </c>
      <c r="DW33" s="56">
        <v>4177.1580000000004</v>
      </c>
      <c r="DX33" s="28"/>
      <c r="DY33" s="29"/>
      <c r="DZ33" s="56">
        <v>4541</v>
      </c>
      <c r="EA33" s="56">
        <v>5482</v>
      </c>
      <c r="EB33" s="28"/>
      <c r="EC33" s="29"/>
      <c r="ED33" s="56">
        <v>64998.129000000001</v>
      </c>
      <c r="EE33" s="56">
        <v>50497.788999999997</v>
      </c>
      <c r="EF33" s="28"/>
      <c r="EG33" s="29"/>
      <c r="EH33" s="56">
        <f>904.415+1275.347</f>
        <v>2179.7619999999997</v>
      </c>
      <c r="EI33" s="56">
        <f>3287.5+463.374</f>
        <v>3750.8739999999998</v>
      </c>
      <c r="EJ33" s="28"/>
      <c r="EK33" s="29"/>
      <c r="EL33" s="56">
        <v>676</v>
      </c>
      <c r="EM33" s="56">
        <v>1238</v>
      </c>
      <c r="EN33" s="28"/>
      <c r="EO33" s="29"/>
      <c r="EP33" s="56">
        <f>22909.022+2636.397+2031.853+212.629</f>
        <v>27789.901000000002</v>
      </c>
      <c r="EQ33" s="56">
        <f>2417.899+17458.443+1157.306+363.756</f>
        <v>21397.404000000002</v>
      </c>
      <c r="ER33" s="7"/>
      <c r="ES33" s="8"/>
      <c r="ET33" s="56">
        <f>16993.375+13364.074</f>
        <v>30357.449000000001</v>
      </c>
      <c r="EU33" s="56">
        <f>7687.498+10579.509</f>
        <v>18267.006999999998</v>
      </c>
      <c r="EV33" s="7"/>
      <c r="EW33" s="8"/>
      <c r="EX33" s="56">
        <v>456.80099999999999</v>
      </c>
      <c r="EY33" s="56"/>
      <c r="EZ33" s="7"/>
      <c r="FA33" s="8"/>
      <c r="FB33" s="56">
        <v>0</v>
      </c>
      <c r="FC33" s="56">
        <v>0</v>
      </c>
      <c r="FD33" s="7"/>
      <c r="FE33" s="8"/>
      <c r="FF33" s="56">
        <v>222740</v>
      </c>
      <c r="FG33" s="56">
        <v>218852</v>
      </c>
      <c r="FH33" s="7"/>
      <c r="FI33" s="8"/>
      <c r="FJ33" s="56">
        <v>14523.731</v>
      </c>
      <c r="FK33" s="56">
        <v>8554.3150000000005</v>
      </c>
      <c r="FL33" s="7"/>
      <c r="FM33" s="8"/>
      <c r="FN33" s="56">
        <f>0</f>
        <v>0</v>
      </c>
      <c r="FO33" s="56">
        <v>0</v>
      </c>
      <c r="FP33" s="7"/>
      <c r="FQ33" s="8"/>
      <c r="FR33" s="56">
        <v>12357.071</v>
      </c>
      <c r="FS33" s="56">
        <v>14446.564</v>
      </c>
      <c r="FT33" s="7"/>
      <c r="FU33" s="8"/>
      <c r="FV33" s="56">
        <f>2391.748</f>
        <v>2391.748</v>
      </c>
      <c r="FW33" s="56">
        <v>2874.2260000000001</v>
      </c>
      <c r="FX33" s="7"/>
      <c r="FY33" s="8"/>
      <c r="FZ33" s="56">
        <v>113274</v>
      </c>
      <c r="GA33" s="56">
        <v>115391</v>
      </c>
      <c r="GB33" s="7"/>
      <c r="GC33" s="8"/>
      <c r="GD33" s="56">
        <v>88.146000000000001</v>
      </c>
      <c r="GE33" s="56">
        <v>82.075000000000003</v>
      </c>
      <c r="GF33" s="7"/>
      <c r="GG33" s="8"/>
      <c r="GH33" s="56">
        <v>0</v>
      </c>
      <c r="GI33" s="56">
        <v>0</v>
      </c>
      <c r="GJ33" s="7"/>
      <c r="GK33" s="8"/>
      <c r="GL33" s="56">
        <v>12665.73</v>
      </c>
      <c r="GM33" s="56">
        <v>1060.9010000000001</v>
      </c>
      <c r="GN33" s="7"/>
      <c r="GO33" s="8"/>
      <c r="GP33" s="56">
        <v>0</v>
      </c>
      <c r="GQ33" s="56">
        <v>0</v>
      </c>
      <c r="GR33" s="7"/>
      <c r="GS33" s="8"/>
      <c r="GT33" s="56">
        <v>58</v>
      </c>
      <c r="GU33" s="56"/>
      <c r="GV33" s="7"/>
      <c r="GW33" s="8"/>
      <c r="GX33" s="56">
        <v>8746.4770000000008</v>
      </c>
      <c r="GY33" s="56">
        <v>3625.1109999999999</v>
      </c>
      <c r="GZ33" s="7"/>
      <c r="HA33" s="8"/>
      <c r="HB33" s="56">
        <v>1423.432</v>
      </c>
      <c r="HC33" s="56"/>
      <c r="HD33" s="7"/>
      <c r="HE33" s="8"/>
      <c r="HF33" s="56">
        <v>0</v>
      </c>
      <c r="HG33" s="56">
        <v>2835.6170000000002</v>
      </c>
      <c r="HH33" s="56">
        <v>2835.6170000000002</v>
      </c>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54" customFormat="1" ht="12.75" customHeight="1" x14ac:dyDescent="0.2">
      <c r="A34" s="79"/>
      <c r="B34" s="33" t="s">
        <v>140</v>
      </c>
      <c r="C34" s="48"/>
      <c r="D34" s="49"/>
      <c r="E34" s="57">
        <v>3846.027</v>
      </c>
      <c r="F34" s="57">
        <v>3421.982</v>
      </c>
      <c r="G34" s="57">
        <f>3643.528</f>
        <v>3643.5279999999998</v>
      </c>
      <c r="H34" s="57">
        <v>2274.8229999999999</v>
      </c>
      <c r="I34" s="57"/>
      <c r="J34" s="48"/>
      <c r="K34" s="49"/>
      <c r="L34" s="56">
        <v>0</v>
      </c>
      <c r="M34" s="56">
        <v>5464</v>
      </c>
      <c r="N34" s="48"/>
      <c r="O34" s="49"/>
      <c r="P34" s="56">
        <v>10187.308000000001</v>
      </c>
      <c r="Q34" s="56">
        <v>8241.3449999999993</v>
      </c>
      <c r="R34" s="56">
        <f>5890.308</f>
        <v>5890.308</v>
      </c>
      <c r="S34" s="56">
        <f>5415.235</f>
        <v>5415.2349999999997</v>
      </c>
      <c r="T34" s="56"/>
      <c r="U34" s="48"/>
      <c r="V34" s="49"/>
      <c r="W34" s="56">
        <f>1736.977+10368.399</f>
        <v>12105.376</v>
      </c>
      <c r="X34" s="56">
        <f>728.228+13086.769</f>
        <v>13814.996999999999</v>
      </c>
      <c r="Y34" s="56">
        <f>8160.625</f>
        <v>8160.625</v>
      </c>
      <c r="Z34" s="56">
        <f>8855.416</f>
        <v>8855.4159999999993</v>
      </c>
      <c r="AA34" s="56"/>
      <c r="AB34" s="48"/>
      <c r="AC34" s="49"/>
      <c r="AD34" s="56">
        <v>5165.4530000000004</v>
      </c>
      <c r="AE34" s="56">
        <v>3681.9259999999999</v>
      </c>
      <c r="AF34" s="48"/>
      <c r="AG34" s="49"/>
      <c r="AH34" s="56">
        <f>12313.34+200</f>
        <v>12513.34</v>
      </c>
      <c r="AI34" s="56">
        <f>3185.297</f>
        <v>3185.297</v>
      </c>
      <c r="AJ34" s="48"/>
      <c r="AK34" s="49"/>
      <c r="AL34" s="56">
        <v>1461.309</v>
      </c>
      <c r="AM34" s="56">
        <v>1372.0309999999999</v>
      </c>
      <c r="AN34" s="56">
        <v>722.24900000000002</v>
      </c>
      <c r="AO34" s="56"/>
      <c r="AP34" s="48"/>
      <c r="AQ34" s="49"/>
      <c r="AR34" s="56">
        <f>1363.52</f>
        <v>1363.52</v>
      </c>
      <c r="AS34" s="56">
        <f>1196.463</f>
        <v>1196.463</v>
      </c>
      <c r="AT34" s="56">
        <v>1214.9739999999999</v>
      </c>
      <c r="AU34" s="56">
        <v>283.90499999999997</v>
      </c>
      <c r="AV34" s="56"/>
      <c r="AW34" s="48"/>
      <c r="AX34" s="49"/>
      <c r="AY34" s="56">
        <v>407050</v>
      </c>
      <c r="AZ34" s="56">
        <v>360615</v>
      </c>
      <c r="BA34" s="48"/>
      <c r="BB34" s="49"/>
      <c r="BC34" s="49">
        <v>0</v>
      </c>
      <c r="BD34" s="49">
        <v>30000</v>
      </c>
      <c r="BE34" s="48"/>
      <c r="BF34" s="49"/>
      <c r="BG34" s="49">
        <v>185478</v>
      </c>
      <c r="BH34" s="49">
        <v>155264</v>
      </c>
      <c r="BI34" s="49">
        <v>165820</v>
      </c>
      <c r="BJ34" s="49">
        <v>9177</v>
      </c>
      <c r="BK34" s="49"/>
      <c r="BL34" s="48"/>
      <c r="BM34" s="49"/>
      <c r="BN34" s="49">
        <f>4461.406+4000</f>
        <v>8461.405999999999</v>
      </c>
      <c r="BO34" s="49">
        <f>5603.832+4000</f>
        <v>9603.8320000000003</v>
      </c>
      <c r="BP34" s="49">
        <v>1152.4870000000001</v>
      </c>
      <c r="BQ34" s="49">
        <v>0</v>
      </c>
      <c r="BR34" s="49"/>
      <c r="BS34" s="48"/>
      <c r="BT34" s="49"/>
      <c r="BU34" s="49">
        <f>1399.417+406.952</f>
        <v>1806.3689999999999</v>
      </c>
      <c r="BV34" s="49">
        <f>440.627+1000</f>
        <v>1440.627</v>
      </c>
      <c r="BW34" s="48"/>
      <c r="BX34" s="49"/>
      <c r="BY34" s="56">
        <f>18000</f>
        <v>18000</v>
      </c>
      <c r="BZ34" s="56">
        <v>21000</v>
      </c>
      <c r="CA34" s="48"/>
      <c r="CB34" s="49"/>
      <c r="CC34" s="56">
        <f>32208.99+7859.853</f>
        <v>40068.843000000001</v>
      </c>
      <c r="CD34" s="56">
        <f>16493.005+1.853596</f>
        <v>16494.858596000002</v>
      </c>
      <c r="CE34" s="56">
        <f>4037.094+464.094</f>
        <v>4501.1880000000001</v>
      </c>
      <c r="CF34" s="56"/>
      <c r="CG34" s="48"/>
      <c r="CH34" s="49"/>
      <c r="CI34" s="56">
        <v>0</v>
      </c>
      <c r="CJ34" s="56">
        <v>0</v>
      </c>
      <c r="CK34" s="48"/>
      <c r="CL34" s="49"/>
      <c r="CM34" s="56">
        <v>975.49300000000005</v>
      </c>
      <c r="CN34" s="56">
        <v>428.13299999999998</v>
      </c>
      <c r="CO34" s="56"/>
      <c r="CP34" s="56"/>
      <c r="CQ34" s="56"/>
      <c r="CR34" s="48"/>
      <c r="CS34" s="49"/>
      <c r="CT34" s="56">
        <v>1194.194</v>
      </c>
      <c r="CU34" s="56">
        <v>111</v>
      </c>
      <c r="CV34" s="48"/>
      <c r="CW34" s="49"/>
      <c r="CX34" s="56">
        <v>3876.627</v>
      </c>
      <c r="CY34" s="56">
        <v>2069.3339999999998</v>
      </c>
      <c r="CZ34" s="56"/>
      <c r="DA34" s="56"/>
      <c r="DB34" s="48"/>
      <c r="DC34" s="49"/>
      <c r="DD34" s="56">
        <v>10651.254999999999</v>
      </c>
      <c r="DE34" s="56">
        <v>9803.5470000000005</v>
      </c>
      <c r="DF34" s="48"/>
      <c r="DG34" s="49"/>
      <c r="DH34" s="56">
        <v>28902.871999999999</v>
      </c>
      <c r="DI34" s="56">
        <v>21973.912</v>
      </c>
      <c r="DJ34" s="56"/>
      <c r="DK34" s="56"/>
      <c r="DL34" s="56"/>
      <c r="DM34" s="48"/>
      <c r="DN34" s="49"/>
      <c r="DO34" s="56">
        <f>105508+8389</f>
        <v>113897</v>
      </c>
      <c r="DP34" s="56">
        <f>74556+9379</f>
        <v>83935</v>
      </c>
      <c r="DQ34" s="56"/>
      <c r="DR34" s="56"/>
      <c r="DS34" s="56"/>
      <c r="DT34" s="48"/>
      <c r="DU34" s="49"/>
      <c r="DV34" s="56">
        <f>2173.584+100</f>
        <v>2273.5839999999998</v>
      </c>
      <c r="DW34" s="56">
        <f>1047.146+100</f>
        <v>1147.146</v>
      </c>
      <c r="DX34" s="48"/>
      <c r="DY34" s="49"/>
      <c r="DZ34" s="56">
        <v>640475</v>
      </c>
      <c r="EA34" s="56">
        <v>530667</v>
      </c>
      <c r="EB34" s="48"/>
      <c r="EC34" s="49"/>
      <c r="ED34" s="56">
        <v>49614.955000000002</v>
      </c>
      <c r="EE34" s="56">
        <v>45785.879000000001</v>
      </c>
      <c r="EF34" s="48"/>
      <c r="EG34" s="49"/>
      <c r="EH34" s="56">
        <v>2866.9229999999998</v>
      </c>
      <c r="EI34" s="56">
        <v>0</v>
      </c>
      <c r="EJ34" s="48"/>
      <c r="EK34" s="49"/>
      <c r="EL34" s="56">
        <v>40340</v>
      </c>
      <c r="EM34" s="56">
        <v>30580</v>
      </c>
      <c r="EN34" s="48"/>
      <c r="EO34" s="49"/>
      <c r="EP34" s="56">
        <v>1504.0909999999999</v>
      </c>
      <c r="EQ34" s="56">
        <v>1543.3489999999999</v>
      </c>
      <c r="ER34" s="52"/>
      <c r="ES34" s="53"/>
      <c r="ET34" s="56">
        <f>8811.514+2091.031+250+0.039</f>
        <v>11152.583999999999</v>
      </c>
      <c r="EU34" s="56">
        <f>8745.204+1907.177+1500+3.166</f>
        <v>12155.546999999999</v>
      </c>
      <c r="EV34" s="52"/>
      <c r="EW34" s="53"/>
      <c r="EX34" s="56">
        <v>0</v>
      </c>
      <c r="EY34" s="56"/>
      <c r="EZ34" s="52"/>
      <c r="FA34" s="53"/>
      <c r="FB34" s="56">
        <v>1934.278</v>
      </c>
      <c r="FC34" s="56">
        <v>1487.0450000000001</v>
      </c>
      <c r="FD34" s="52"/>
      <c r="FE34" s="53"/>
      <c r="FF34" s="56">
        <v>0</v>
      </c>
      <c r="FG34" s="56">
        <v>0</v>
      </c>
      <c r="FH34" s="52"/>
      <c r="FI34" s="53"/>
      <c r="FJ34" s="56">
        <v>13623.368</v>
      </c>
      <c r="FK34" s="56">
        <v>9178.26</v>
      </c>
      <c r="FL34" s="52"/>
      <c r="FM34" s="53"/>
      <c r="FN34" s="56">
        <f>150000+280486.469+387900.708</f>
        <v>818387.17699999991</v>
      </c>
      <c r="FO34" s="56">
        <f>150000+350234.634+216263.64</f>
        <v>716498.27399999998</v>
      </c>
      <c r="FP34" s="52"/>
      <c r="FQ34" s="53"/>
      <c r="FR34" s="56">
        <v>8160.11</v>
      </c>
      <c r="FS34" s="56">
        <v>10231.669</v>
      </c>
      <c r="FT34" s="52"/>
      <c r="FU34" s="53"/>
      <c r="FV34" s="56">
        <f>2243.858</f>
        <v>2243.8580000000002</v>
      </c>
      <c r="FW34" s="56">
        <f>1621.67</f>
        <v>1621.67</v>
      </c>
      <c r="FX34" s="52"/>
      <c r="FY34" s="53"/>
      <c r="FZ34" s="56">
        <v>0</v>
      </c>
      <c r="GA34" s="56">
        <v>0</v>
      </c>
      <c r="GB34" s="52"/>
      <c r="GC34" s="53"/>
      <c r="GD34" s="56">
        <f>500+364</f>
        <v>864</v>
      </c>
      <c r="GE34" s="56">
        <f>400+364</f>
        <v>764</v>
      </c>
      <c r="GF34" s="52"/>
      <c r="GG34" s="53"/>
      <c r="GH34" s="56">
        <v>328222.60600000003</v>
      </c>
      <c r="GI34" s="56">
        <v>378483.37099999998</v>
      </c>
      <c r="GJ34" s="52"/>
      <c r="GK34" s="53"/>
      <c r="GL34" s="56">
        <v>12961.625</v>
      </c>
      <c r="GM34" s="56">
        <v>1682.2840000000001</v>
      </c>
      <c r="GN34" s="52"/>
      <c r="GO34" s="53"/>
      <c r="GP34" s="56">
        <v>1498651</v>
      </c>
      <c r="GQ34" s="56">
        <v>1119016</v>
      </c>
      <c r="GR34" s="52"/>
      <c r="GS34" s="53"/>
      <c r="GT34" s="56">
        <v>120000</v>
      </c>
      <c r="GU34" s="56"/>
      <c r="GV34" s="52"/>
      <c r="GW34" s="53"/>
      <c r="GX34" s="56">
        <v>7355.4179999999997</v>
      </c>
      <c r="GY34" s="56">
        <v>10785.421</v>
      </c>
      <c r="GZ34" s="52"/>
      <c r="HA34" s="53"/>
      <c r="HB34" s="56">
        <v>212500</v>
      </c>
      <c r="HC34" s="56"/>
      <c r="HD34" s="52"/>
      <c r="HE34" s="53"/>
      <c r="HF34" s="56">
        <v>454015.59100000001</v>
      </c>
      <c r="HG34" s="56">
        <v>243123.11300000001</v>
      </c>
      <c r="HH34" s="56">
        <v>241268.092</v>
      </c>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6" customFormat="1" ht="12.75" customHeight="1" x14ac:dyDescent="0.2">
      <c r="B35" s="65" t="s">
        <v>141</v>
      </c>
      <c r="C35" s="28"/>
      <c r="D35" s="29"/>
      <c r="E35" s="50">
        <f>E37-E36-SUM(E33:E34)</f>
        <v>3428.7700000000186</v>
      </c>
      <c r="F35" s="50">
        <f>F37-F36-SUM(F33:F34)</f>
        <v>2023.7510000000184</v>
      </c>
      <c r="G35" s="50">
        <f>G37-G36-SUM(G33:G34)</f>
        <v>1456.127999999997</v>
      </c>
      <c r="H35" s="50">
        <f>H37-H36-SUM(H33:H34)</f>
        <v>1715.7220000000088</v>
      </c>
      <c r="I35" s="50"/>
      <c r="J35" s="28"/>
      <c r="K35" s="29"/>
      <c r="L35" s="51">
        <f>L37-L36-SUM(L33:L34)</f>
        <v>50.685999999999922</v>
      </c>
      <c r="M35" s="51">
        <f>M37-M36-SUM(M33:M34)</f>
        <v>0</v>
      </c>
      <c r="N35" s="28"/>
      <c r="O35" s="29"/>
      <c r="P35" s="51">
        <f>P37-P36-SUM(P33:P34)</f>
        <v>1700.8450000000012</v>
      </c>
      <c r="Q35" s="51">
        <f>Q37-Q36-SUM(Q33:Q34)</f>
        <v>1974.1870000000017</v>
      </c>
      <c r="R35" s="51">
        <f>R37-R36-SUM(R33:R34)</f>
        <v>508.61200000000099</v>
      </c>
      <c r="S35" s="51">
        <f>S37-S36-SUM(S33:S34)</f>
        <v>3565.0979999999981</v>
      </c>
      <c r="T35" s="51"/>
      <c r="U35" s="28"/>
      <c r="V35" s="29"/>
      <c r="W35" s="51">
        <f>W37-W36-SUM(W33:W34)</f>
        <v>250.77299999999741</v>
      </c>
      <c r="X35" s="51">
        <f>X37-X36-SUM(X33:X34)</f>
        <v>251.75700000000143</v>
      </c>
      <c r="Y35" s="51">
        <f>Y37-Y36-SUM(Y33:Y34)</f>
        <v>154.76800000000003</v>
      </c>
      <c r="Z35" s="51">
        <f>Z37-Z36-SUM(Z33:Z34)</f>
        <v>238.77400000000125</v>
      </c>
      <c r="AA35" s="51"/>
      <c r="AB35" s="28"/>
      <c r="AC35" s="29"/>
      <c r="AD35" s="51">
        <f>AD37-AD36-SUM(AD33:AD34)</f>
        <v>480.26200000000063</v>
      </c>
      <c r="AE35" s="51">
        <f>AE37-AE36-SUM(AE33:AE34)</f>
        <v>625.36899999999878</v>
      </c>
      <c r="AF35" s="28"/>
      <c r="AG35" s="29"/>
      <c r="AH35" s="51">
        <f>AH37-AH36-SUM(AH33:AH34)</f>
        <v>279.33699999999953</v>
      </c>
      <c r="AI35" s="51">
        <f>AI37-AI36-SUM(AI33:AI34)</f>
        <v>210.81800000000021</v>
      </c>
      <c r="AJ35" s="28"/>
      <c r="AK35" s="29"/>
      <c r="AL35" s="51">
        <f>AL37-AL36-SUM(AL33:AL34)</f>
        <v>248.75900000000092</v>
      </c>
      <c r="AM35" s="51">
        <f>AM37-AM36-SUM(AM33:AM34)</f>
        <v>94.809000000000651</v>
      </c>
      <c r="AN35" s="51">
        <f>AN37-AN36-SUM(AN33:AN34)</f>
        <v>19.356999999999744</v>
      </c>
      <c r="AO35" s="51"/>
      <c r="AP35" s="28"/>
      <c r="AQ35" s="29"/>
      <c r="AR35" s="51">
        <f>AR37-AR36-SUM(AR33:AR34)</f>
        <v>885.38000000000102</v>
      </c>
      <c r="AS35" s="51">
        <f>AS37-AS36-SUM(AS33:AS34)</f>
        <v>1173.4390000000012</v>
      </c>
      <c r="AT35" s="51">
        <f>AT37-AT36-SUM(AT33:AT34)</f>
        <v>1126.6360000000004</v>
      </c>
      <c r="AU35" s="51">
        <f>AU37-AU36-SUM(AU33:AU34)</f>
        <v>1271.6010000000006</v>
      </c>
      <c r="AV35" s="51"/>
      <c r="AW35" s="28"/>
      <c r="AX35" s="29"/>
      <c r="AY35" s="51">
        <f>AY37-AY36-SUM(AY33:AY34)</f>
        <v>6685</v>
      </c>
      <c r="AZ35" s="51">
        <f>AZ37-AZ36-SUM(AZ33:AZ34)</f>
        <v>10046</v>
      </c>
      <c r="BA35" s="28"/>
      <c r="BB35" s="29"/>
      <c r="BC35" s="29">
        <v>0</v>
      </c>
      <c r="BD35" s="29">
        <f>BD37-BD36-SUM(BD33:BD34)</f>
        <v>5342.7840000000142</v>
      </c>
      <c r="BE35" s="28"/>
      <c r="BF35" s="29"/>
      <c r="BG35" s="29">
        <f>BG37-BG36-SUM(BG33:BG34)</f>
        <v>18240</v>
      </c>
      <c r="BH35" s="29">
        <f>BH37-BH36-SUM(BH33:BH34)</f>
        <v>21874</v>
      </c>
      <c r="BI35" s="29">
        <f>BI37-BI36-SUM(BI33:BI34)</f>
        <v>11638</v>
      </c>
      <c r="BJ35" s="29">
        <f>BJ37-BJ36-SUM(BJ33:BJ34)</f>
        <v>171631</v>
      </c>
      <c r="BK35" s="29"/>
      <c r="BL35" s="28"/>
      <c r="BM35" s="29"/>
      <c r="BN35" s="29">
        <f>BN37-BN36-SUM(BN33:BN34)</f>
        <v>962.30900000000474</v>
      </c>
      <c r="BO35" s="29">
        <f>BO37-BO36-SUM(BO33:BO34)</f>
        <v>1515.2859999999982</v>
      </c>
      <c r="BP35" s="29">
        <f>BP37-BP36-SUM(BP33:BP34)</f>
        <v>6802.5230000000001</v>
      </c>
      <c r="BQ35" s="29">
        <f>BQ37-BQ36-SUM(BQ33:BQ34)</f>
        <v>3553.3850000000002</v>
      </c>
      <c r="BR35" s="29"/>
      <c r="BS35" s="28"/>
      <c r="BT35" s="29"/>
      <c r="BU35" s="29">
        <f>BU37-BU36-SUM(BU33:BU34)</f>
        <v>34.766999999999825</v>
      </c>
      <c r="BV35" s="29">
        <f>BV37-BV36-SUM(BV33:BV34)</f>
        <v>24.684000000000196</v>
      </c>
      <c r="BW35" s="28"/>
      <c r="BX35" s="29"/>
      <c r="BY35" s="29">
        <f>BY37-BY36-SUM(BY33:BY34)</f>
        <v>884</v>
      </c>
      <c r="BZ35" s="29">
        <f>BZ37-BZ36-SUM(BZ33:BZ34)</f>
        <v>637</v>
      </c>
      <c r="CA35" s="28"/>
      <c r="CB35" s="29"/>
      <c r="CC35" s="51">
        <f>CC37-CC36-SUM(CC33:CC34)</f>
        <v>1393.8970000000118</v>
      </c>
      <c r="CD35" s="51">
        <f>CD37-CD36-SUM(CD33:CD34)</f>
        <v>2121.8344040000011</v>
      </c>
      <c r="CE35" s="51">
        <f>CE37-CE36-SUM(CE33:CE34)</f>
        <v>647.8760000000002</v>
      </c>
      <c r="CF35" s="51"/>
      <c r="CG35" s="28"/>
      <c r="CH35" s="29"/>
      <c r="CI35" s="51">
        <f>CI37-CI36-SUM(CI33:CI34)</f>
        <v>289</v>
      </c>
      <c r="CJ35" s="51">
        <f>CJ37-CJ36-SUM(CJ33:CJ34)</f>
        <v>406</v>
      </c>
      <c r="CK35" s="28"/>
      <c r="CL35" s="29"/>
      <c r="CM35" s="51">
        <f>CM37-CM36-SUM(CM33:CM34)</f>
        <v>82.5049999999992</v>
      </c>
      <c r="CN35" s="51">
        <f>CN37-CN36-SUM(CN33:CN34)</f>
        <v>59.21900000000096</v>
      </c>
      <c r="CO35" s="51"/>
      <c r="CP35" s="51"/>
      <c r="CQ35" s="51"/>
      <c r="CR35" s="28"/>
      <c r="CS35" s="29"/>
      <c r="CT35" s="51">
        <f>CT37-CT36-SUM(CT33:CT34)</f>
        <v>133.94299999999976</v>
      </c>
      <c r="CU35" s="51">
        <f>CU37-CU36-SUM(CU33:CU34)</f>
        <v>563.70839999999998</v>
      </c>
      <c r="CV35" s="28"/>
      <c r="CW35" s="29"/>
      <c r="CX35" s="51">
        <f>CX37-CX36-SUM(CX33:CX34)</f>
        <v>93.002999999999702</v>
      </c>
      <c r="CY35" s="51">
        <f>CY37-CY36-SUM(CY33:CY34)</f>
        <v>41.430000000000291</v>
      </c>
      <c r="CZ35" s="51"/>
      <c r="DA35" s="51"/>
      <c r="DB35" s="28"/>
      <c r="DC35" s="29"/>
      <c r="DD35" s="51">
        <f>DD37-DD36-SUM(DD33:DD34)</f>
        <v>3906.0080000000016</v>
      </c>
      <c r="DE35" s="51">
        <f>DE37-DE36-SUM(DE33:DE34)</f>
        <v>3691.0740000000005</v>
      </c>
      <c r="DF35" s="28"/>
      <c r="DG35" s="29"/>
      <c r="DH35" s="51">
        <f>DH37-DH36-SUM(DH33:DH34)</f>
        <v>6109.4490000000078</v>
      </c>
      <c r="DI35" s="51">
        <f>DI37-DI36-SUM(DI33:DI34)</f>
        <v>15536.347999999998</v>
      </c>
      <c r="DJ35" s="51"/>
      <c r="DK35" s="51"/>
      <c r="DL35" s="51"/>
      <c r="DM35" s="28"/>
      <c r="DN35" s="29"/>
      <c r="DO35" s="51">
        <f>DO37-DO36-SUM(DO33:DO34)</f>
        <v>12606</v>
      </c>
      <c r="DP35" s="51">
        <f>DP37-DP36-SUM(DP33:DP34)</f>
        <v>12857</v>
      </c>
      <c r="DQ35" s="51"/>
      <c r="DR35" s="51"/>
      <c r="DS35" s="51"/>
      <c r="DT35" s="28"/>
      <c r="DU35" s="29"/>
      <c r="DV35" s="51">
        <f>DV37-DV36-SUM(DV33:DV34)</f>
        <v>52.980000000000473</v>
      </c>
      <c r="DW35" s="51">
        <f>DW37-DW36-SUM(DW33:DW34)</f>
        <v>60.578000000000429</v>
      </c>
      <c r="DX35" s="28"/>
      <c r="DY35" s="29"/>
      <c r="DZ35" s="51">
        <f>DZ37-DZ36-SUM(DZ33:DZ34)</f>
        <v>0</v>
      </c>
      <c r="EA35" s="51">
        <f>EA37-EA36-SUM(EA33:EA34)</f>
        <v>0</v>
      </c>
      <c r="EB35" s="28"/>
      <c r="EC35" s="29"/>
      <c r="ED35" s="51">
        <f>ED37-ED36-SUM(ED33:ED34)</f>
        <v>65506.799000000028</v>
      </c>
      <c r="EE35" s="51">
        <f>EE37-EE36-SUM(EE33:EE34)</f>
        <v>43152.869000000006</v>
      </c>
      <c r="EF35" s="28"/>
      <c r="EG35" s="29"/>
      <c r="EH35" s="51">
        <f>EH37-EH36-SUM(EH33:EH34)</f>
        <v>50.434000000001106</v>
      </c>
      <c r="EI35" s="51">
        <f>EI37-EI36-SUM(EI33:EI34)</f>
        <v>75.61200000000008</v>
      </c>
      <c r="EJ35" s="28"/>
      <c r="EK35" s="29"/>
      <c r="EL35" s="51">
        <f>EL37-EL36-SUM(EL33:EL34)</f>
        <v>0</v>
      </c>
      <c r="EM35" s="51">
        <f>EM37-EM36-SUM(EM33:EM34)</f>
        <v>338</v>
      </c>
      <c r="EN35" s="28"/>
      <c r="EO35" s="29"/>
      <c r="EP35" s="51">
        <f>EP37-EP36-SUM(EP33:EP34)</f>
        <v>390.42999999999665</v>
      </c>
      <c r="EQ35" s="51">
        <f>EQ37-EQ36-SUM(EQ33:EQ34)</f>
        <v>339.70800000000236</v>
      </c>
      <c r="ER35" s="7"/>
      <c r="ES35" s="8"/>
      <c r="ET35" s="51">
        <f>ET37-ET36-SUM(ET33:ET34)</f>
        <v>733.13799999999901</v>
      </c>
      <c r="EU35" s="51">
        <f>EU37-EU36-SUM(EU33:EU34)</f>
        <v>801.42399999999907</v>
      </c>
      <c r="EV35" s="7"/>
      <c r="EW35" s="8"/>
      <c r="EX35" s="51">
        <f>EX37-EX36-SUM(EX33:EX34)</f>
        <v>177.09400000000011</v>
      </c>
      <c r="EY35" s="51"/>
      <c r="EZ35" s="7"/>
      <c r="FA35" s="8"/>
      <c r="FB35" s="51">
        <f>FB37-FB36-SUM(FB33:FB34)</f>
        <v>37.567000000000007</v>
      </c>
      <c r="FC35" s="51">
        <f>FC37-FC36-SUM(FC33:FC34)</f>
        <v>68.414999999999964</v>
      </c>
      <c r="FD35" s="7"/>
      <c r="FE35" s="8"/>
      <c r="FF35" s="51">
        <f>FF37-FF36-SUM(FF33:FF34)</f>
        <v>21604</v>
      </c>
      <c r="FG35" s="51">
        <f>FG37-FG36-SUM(FG33:FG34)</f>
        <v>20877</v>
      </c>
      <c r="FH35" s="7"/>
      <c r="FI35" s="8"/>
      <c r="FJ35" s="51">
        <f>FJ37-FJ36-SUM(FJ33:FJ34)</f>
        <v>1357.2589999999982</v>
      </c>
      <c r="FK35" s="51">
        <f>FK37-FK36-SUM(FK33:FK34)</f>
        <v>407.78799999999683</v>
      </c>
      <c r="FL35" s="7"/>
      <c r="FM35" s="8"/>
      <c r="FN35" s="51">
        <f>FN37-FN36-SUM(FN33:FN34)</f>
        <v>13230.283999999985</v>
      </c>
      <c r="FO35" s="51">
        <f>FO37-FO36-SUM(FO33:FO34)</f>
        <v>5841.3760000000475</v>
      </c>
      <c r="FP35" s="7"/>
      <c r="FQ35" s="8"/>
      <c r="FR35" s="51">
        <f>FR37-FR36-SUM(FR33:FR34)</f>
        <v>6544.1029999999992</v>
      </c>
      <c r="FS35" s="51">
        <f>FS37-FS36-SUM(FS33:FS34)</f>
        <v>4738.9660000000003</v>
      </c>
      <c r="FT35" s="7"/>
      <c r="FU35" s="8"/>
      <c r="FV35" s="51">
        <f>FV37-FV36-SUM(FV33:FV34)</f>
        <v>175.9399999999996</v>
      </c>
      <c r="FW35" s="51">
        <f>FW37-FW36-SUM(FW33:FW34)</f>
        <v>136.68299999999908</v>
      </c>
      <c r="FX35" s="7"/>
      <c r="FY35" s="8"/>
      <c r="FZ35" s="51">
        <f>FZ37-FZ36-SUM(FZ33:FZ34)</f>
        <v>32374</v>
      </c>
      <c r="GA35" s="51">
        <f>GA37-GA36-SUM(GA33:GA34)</f>
        <v>34658</v>
      </c>
      <c r="GB35" s="7"/>
      <c r="GC35" s="8"/>
      <c r="GD35" s="51">
        <f>GD37-GD36-SUM(GD33:GD34)</f>
        <v>125.74100000000021</v>
      </c>
      <c r="GE35" s="51">
        <f>GE37-GE36-SUM(GE33:GE34)</f>
        <v>148.98500000000001</v>
      </c>
      <c r="GF35" s="7"/>
      <c r="GG35" s="8"/>
      <c r="GH35" s="51">
        <f>GH37-GH36-SUM(GH33:GH34)</f>
        <v>28344.457999999984</v>
      </c>
      <c r="GI35" s="51">
        <f>GI37-GI36-SUM(GI33:GI34)</f>
        <v>15057.72100000002</v>
      </c>
      <c r="GJ35" s="7"/>
      <c r="GK35" s="8"/>
      <c r="GL35" s="51">
        <f>GL37-GL36-SUM(GL33:GL34)</f>
        <v>730.88299999999799</v>
      </c>
      <c r="GM35" s="51">
        <f>GM37-GM36-SUM(GM33:GM34)</f>
        <v>521.79799999999977</v>
      </c>
      <c r="GN35" s="7"/>
      <c r="GO35" s="8"/>
      <c r="GP35" s="51">
        <f>GP37-GP36-SUM(GP33:GP34)</f>
        <v>12598</v>
      </c>
      <c r="GQ35" s="51">
        <f>GQ37-GQ36-SUM(GQ33:GQ34)</f>
        <v>15070</v>
      </c>
      <c r="GR35" s="7"/>
      <c r="GS35" s="8"/>
      <c r="GT35" s="51">
        <f>GT37-GT36-SUM(GT33:GT34)</f>
        <v>739</v>
      </c>
      <c r="GU35" s="51"/>
      <c r="GV35" s="7"/>
      <c r="GW35" s="8"/>
      <c r="GX35" s="51">
        <f>GX37-GX36-SUM(GX33:GX34)</f>
        <v>348.49399999999878</v>
      </c>
      <c r="GY35" s="51">
        <f>GY37-GY36-SUM(GY33:GY34)</f>
        <v>257.7360000000026</v>
      </c>
      <c r="GZ35" s="7"/>
      <c r="HA35" s="8"/>
      <c r="HB35" s="51">
        <f>HB37-HB36-SUM(HB33:HB34)</f>
        <v>1270.2350000000151</v>
      </c>
      <c r="HC35" s="51"/>
      <c r="HD35" s="7"/>
      <c r="HE35" s="8"/>
      <c r="HF35" s="51">
        <f>HF37-HF36-SUM(HF33:HF34)</f>
        <v>3655.5629999999655</v>
      </c>
      <c r="HG35" s="51">
        <f>HG37-HG36-SUM(HG33:HG34)</f>
        <v>0</v>
      </c>
      <c r="HH35" s="51">
        <f>HH37-HH36-SUM(HH33:HH34)</f>
        <v>0</v>
      </c>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58" customFormat="1" ht="12.75" customHeight="1" x14ac:dyDescent="0.2">
      <c r="B36" s="39" t="s">
        <v>142</v>
      </c>
      <c r="C36" s="44"/>
      <c r="D36" s="45"/>
      <c r="E36" s="42">
        <v>16323.263999999999</v>
      </c>
      <c r="F36" s="42">
        <v>15680.133</v>
      </c>
      <c r="G36" s="42">
        <f>14949.546</f>
        <v>14949.546</v>
      </c>
      <c r="H36" s="42">
        <v>12983.726000000001</v>
      </c>
      <c r="I36" s="42"/>
      <c r="J36" s="44"/>
      <c r="K36" s="45"/>
      <c r="L36" s="43">
        <v>4445.5879999999997</v>
      </c>
      <c r="M36" s="43">
        <f>4884</f>
        <v>4884</v>
      </c>
      <c r="N36" s="44"/>
      <c r="O36" s="45"/>
      <c r="P36" s="43">
        <v>5786.0609999999997</v>
      </c>
      <c r="Q36" s="43">
        <v>5559.6409999999996</v>
      </c>
      <c r="R36" s="43">
        <v>5365.03</v>
      </c>
      <c r="S36" s="43">
        <v>5186.8360000000002</v>
      </c>
      <c r="T36" s="43"/>
      <c r="U36" s="44"/>
      <c r="V36" s="45"/>
      <c r="W36" s="43">
        <v>3302.2910000000002</v>
      </c>
      <c r="X36" s="43">
        <v>2738.4479999999999</v>
      </c>
      <c r="Y36" s="43">
        <f>2783.887</f>
        <v>2783.8870000000002</v>
      </c>
      <c r="Z36" s="43">
        <f>2681.406</f>
        <v>2681.4059999999999</v>
      </c>
      <c r="AA36" s="43"/>
      <c r="AB36" s="44"/>
      <c r="AC36" s="45"/>
      <c r="AD36" s="43">
        <v>1445.47</v>
      </c>
      <c r="AE36" s="43">
        <v>417.97699999999998</v>
      </c>
      <c r="AF36" s="44"/>
      <c r="AG36" s="45"/>
      <c r="AH36" s="43">
        <v>2794.1210000000001</v>
      </c>
      <c r="AI36" s="43">
        <v>754.09400000000005</v>
      </c>
      <c r="AJ36" s="44"/>
      <c r="AK36" s="45"/>
      <c r="AL36" s="43">
        <v>1225.5650000000001</v>
      </c>
      <c r="AM36" s="43">
        <v>566.91</v>
      </c>
      <c r="AN36" s="43">
        <v>213.15899999999999</v>
      </c>
      <c r="AO36" s="43"/>
      <c r="AP36" s="44"/>
      <c r="AQ36" s="45"/>
      <c r="AR36" s="43">
        <v>2281.6030000000001</v>
      </c>
      <c r="AS36" s="43">
        <f>1639.522</f>
        <v>1639.5219999999999</v>
      </c>
      <c r="AT36" s="43">
        <v>1194.9280000000001</v>
      </c>
      <c r="AU36" s="43">
        <v>1033.6379999999999</v>
      </c>
      <c r="AV36" s="43"/>
      <c r="AW36" s="44"/>
      <c r="AX36" s="45"/>
      <c r="AY36" s="43">
        <v>3242</v>
      </c>
      <c r="AZ36" s="43">
        <v>3067</v>
      </c>
      <c r="BA36" s="44"/>
      <c r="BB36" s="45"/>
      <c r="BC36" s="41">
        <v>0</v>
      </c>
      <c r="BD36" s="41">
        <v>8974.5400000000009</v>
      </c>
      <c r="BE36" s="44"/>
      <c r="BF36" s="45"/>
      <c r="BG36" s="41">
        <v>67398</v>
      </c>
      <c r="BH36" s="41">
        <v>55674</v>
      </c>
      <c r="BI36" s="41">
        <v>15819</v>
      </c>
      <c r="BJ36" s="41">
        <v>13739</v>
      </c>
      <c r="BK36" s="41"/>
      <c r="BL36" s="44"/>
      <c r="BM36" s="45"/>
      <c r="BN36" s="41">
        <v>8230.8119999999999</v>
      </c>
      <c r="BO36" s="41">
        <v>7924.7150000000001</v>
      </c>
      <c r="BP36" s="41">
        <v>6562.8090000000002</v>
      </c>
      <c r="BQ36" s="41">
        <v>5673.5249999999996</v>
      </c>
      <c r="BR36" s="41"/>
      <c r="BS36" s="44"/>
      <c r="BT36" s="41"/>
      <c r="BU36" s="41">
        <v>1025.0619999999999</v>
      </c>
      <c r="BV36" s="41">
        <v>276.44799999999998</v>
      </c>
      <c r="BW36" s="44"/>
      <c r="BX36" s="45"/>
      <c r="BY36" s="43">
        <v>14666</v>
      </c>
      <c r="BZ36" s="43">
        <v>12197</v>
      </c>
      <c r="CA36" s="40"/>
      <c r="CB36" s="41"/>
      <c r="CC36" s="43">
        <v>6382.085</v>
      </c>
      <c r="CD36" s="43">
        <v>1983.826</v>
      </c>
      <c r="CE36" s="43">
        <v>856.43600000000004</v>
      </c>
      <c r="CF36" s="43"/>
      <c r="CG36" s="44"/>
      <c r="CH36" s="45"/>
      <c r="CI36" s="43">
        <v>29163</v>
      </c>
      <c r="CJ36" s="43">
        <v>27499</v>
      </c>
      <c r="CK36" s="44"/>
      <c r="CL36" s="45"/>
      <c r="CM36" s="43">
        <v>2363.902</v>
      </c>
      <c r="CN36" s="43">
        <v>2281.9259999999999</v>
      </c>
      <c r="CO36" s="43"/>
      <c r="CP36" s="43"/>
      <c r="CQ36" s="43"/>
      <c r="CR36" s="44"/>
      <c r="CS36" s="45"/>
      <c r="CT36" s="43">
        <v>731.94799999999998</v>
      </c>
      <c r="CU36" s="43">
        <f>-29.77</f>
        <v>-29.77</v>
      </c>
      <c r="CV36" s="44"/>
      <c r="CW36" s="45"/>
      <c r="CX36" s="43">
        <v>1109.5050000000001</v>
      </c>
      <c r="CY36" s="43">
        <v>835.26099999999997</v>
      </c>
      <c r="CZ36" s="43"/>
      <c r="DA36" s="43"/>
      <c r="DB36" s="44"/>
      <c r="DC36" s="45"/>
      <c r="DD36" s="43">
        <v>370</v>
      </c>
      <c r="DE36" s="43">
        <v>380</v>
      </c>
      <c r="DF36" s="44"/>
      <c r="DG36" s="45"/>
      <c r="DH36" s="43">
        <v>14629.886</v>
      </c>
      <c r="DI36" s="43">
        <v>9586.3379999999997</v>
      </c>
      <c r="DJ36" s="43"/>
      <c r="DK36" s="43"/>
      <c r="DL36" s="43"/>
      <c r="DM36" s="44"/>
      <c r="DN36" s="45"/>
      <c r="DO36" s="43">
        <v>21878</v>
      </c>
      <c r="DP36" s="43">
        <v>13945</v>
      </c>
      <c r="DQ36" s="43"/>
      <c r="DR36" s="43"/>
      <c r="DS36" s="43"/>
      <c r="DT36" s="44"/>
      <c r="DU36" s="45"/>
      <c r="DV36" s="43">
        <f>517.781</f>
        <v>517.78099999999995</v>
      </c>
      <c r="DW36" s="43">
        <v>609.09500000000003</v>
      </c>
      <c r="DX36" s="44"/>
      <c r="DY36" s="45"/>
      <c r="DZ36" s="43">
        <v>45831</v>
      </c>
      <c r="EA36" s="43">
        <v>42368</v>
      </c>
      <c r="EB36" s="44"/>
      <c r="EC36" s="45"/>
      <c r="ED36" s="43">
        <v>102482.94100000001</v>
      </c>
      <c r="EE36" s="43">
        <v>87859.845000000001</v>
      </c>
      <c r="EF36" s="44"/>
      <c r="EG36" s="45"/>
      <c r="EH36" s="43">
        <v>866.53899999999999</v>
      </c>
      <c r="EI36" s="43">
        <v>723.02200000000005</v>
      </c>
      <c r="EJ36" s="44"/>
      <c r="EK36" s="45"/>
      <c r="EL36" s="43">
        <f>13458</f>
        <v>13458</v>
      </c>
      <c r="EM36" s="43">
        <v>13969</v>
      </c>
      <c r="EN36" s="44"/>
      <c r="EO36" s="45"/>
      <c r="EP36" s="43">
        <v>2302.4369999999999</v>
      </c>
      <c r="EQ36" s="43">
        <v>1891.7439999999999</v>
      </c>
      <c r="ER36" s="63"/>
      <c r="ES36" s="64"/>
      <c r="ET36" s="43">
        <v>6762.8680000000004</v>
      </c>
      <c r="EU36" s="43">
        <v>6481.3810000000003</v>
      </c>
      <c r="EV36" s="63"/>
      <c r="EW36" s="64"/>
      <c r="EX36" s="43">
        <v>637.03499999999997</v>
      </c>
      <c r="EY36" s="43"/>
      <c r="EZ36" s="63"/>
      <c r="FA36" s="64"/>
      <c r="FB36" s="43">
        <v>1299.6420000000001</v>
      </c>
      <c r="FC36" s="43">
        <v>1466.7719999999999</v>
      </c>
      <c r="FD36" s="63"/>
      <c r="FE36" s="64"/>
      <c r="FF36" s="43">
        <v>27240</v>
      </c>
      <c r="FG36" s="43">
        <v>26675</v>
      </c>
      <c r="FH36" s="63"/>
      <c r="FI36" s="64"/>
      <c r="FJ36" s="43">
        <v>3424.3130000000001</v>
      </c>
      <c r="FK36" s="43">
        <v>2061.3440000000001</v>
      </c>
      <c r="FL36" s="63"/>
      <c r="FM36" s="64"/>
      <c r="FN36" s="43">
        <v>22775.282999999999</v>
      </c>
      <c r="FO36" s="43">
        <f>24160.325</f>
        <v>24160.325000000001</v>
      </c>
      <c r="FP36" s="63"/>
      <c r="FQ36" s="64"/>
      <c r="FR36" s="43">
        <v>1329.2159999999999</v>
      </c>
      <c r="FS36" s="43">
        <v>-628.62199999999996</v>
      </c>
      <c r="FT36" s="63"/>
      <c r="FU36" s="64"/>
      <c r="FV36" s="43">
        <f>984.894</f>
        <v>984.89400000000001</v>
      </c>
      <c r="FW36" s="43">
        <f>120.111</f>
        <v>120.111</v>
      </c>
      <c r="FX36" s="63"/>
      <c r="FY36" s="64"/>
      <c r="FZ36" s="43">
        <v>25960</v>
      </c>
      <c r="GA36" s="43">
        <v>21895</v>
      </c>
      <c r="GB36" s="63"/>
      <c r="GC36" s="64"/>
      <c r="GD36" s="43">
        <v>140.851</v>
      </c>
      <c r="GE36" s="43">
        <v>52.234000000000002</v>
      </c>
      <c r="GF36" s="63"/>
      <c r="GG36" s="64"/>
      <c r="GH36" s="43">
        <v>23454.073</v>
      </c>
      <c r="GI36" s="43">
        <v>31924.053</v>
      </c>
      <c r="GJ36" s="63"/>
      <c r="GK36" s="64"/>
      <c r="GL36" s="43">
        <v>5010.5640000000003</v>
      </c>
      <c r="GM36" s="43">
        <v>5310.1419999999998</v>
      </c>
      <c r="GN36" s="63"/>
      <c r="GO36" s="64"/>
      <c r="GP36" s="43">
        <v>-24093</v>
      </c>
      <c r="GQ36" s="43">
        <v>15494</v>
      </c>
      <c r="GR36" s="63"/>
      <c r="GS36" s="64"/>
      <c r="GT36" s="43">
        <v>4</v>
      </c>
      <c r="GU36" s="43"/>
      <c r="GV36" s="63"/>
      <c r="GW36" s="64"/>
      <c r="GX36" s="43">
        <v>2380.6640000000002</v>
      </c>
      <c r="GY36" s="43">
        <v>1884.1849999999999</v>
      </c>
      <c r="GZ36" s="63"/>
      <c r="HA36" s="64"/>
      <c r="HB36" s="43">
        <v>98.533000000000001</v>
      </c>
      <c r="HC36" s="43"/>
      <c r="HD36" s="63"/>
      <c r="HE36" s="64"/>
      <c r="HF36" s="43">
        <v>816.14599999999996</v>
      </c>
      <c r="HG36" s="43">
        <v>336.85500000000002</v>
      </c>
      <c r="HH36" s="43">
        <v>75.257999999999996</v>
      </c>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6" customFormat="1" ht="12.75" customHeight="1" x14ac:dyDescent="0.2">
      <c r="B37" s="6" t="s">
        <v>143</v>
      </c>
      <c r="C37" s="28"/>
      <c r="D37" s="29"/>
      <c r="E37" s="50">
        <f>E30</f>
        <v>211666.01300000001</v>
      </c>
      <c r="F37" s="50">
        <f>F30</f>
        <v>177359.57399999999</v>
      </c>
      <c r="G37" s="50">
        <f>G30</f>
        <v>152551.51300000001</v>
      </c>
      <c r="H37" s="50">
        <f>H30</f>
        <v>138432.04800000001</v>
      </c>
      <c r="I37" s="50"/>
      <c r="J37" s="28"/>
      <c r="K37" s="29"/>
      <c r="L37" s="51">
        <f>L30</f>
        <v>4852.1769999999997</v>
      </c>
      <c r="M37" s="51">
        <f>M30</f>
        <v>10348</v>
      </c>
      <c r="N37" s="28"/>
      <c r="O37" s="29"/>
      <c r="P37" s="51">
        <f>P30</f>
        <v>32293.571</v>
      </c>
      <c r="Q37" s="51">
        <f>Q30</f>
        <v>29045.374</v>
      </c>
      <c r="R37" s="51">
        <f>R30</f>
        <v>27213.427</v>
      </c>
      <c r="S37" s="51">
        <f>S30</f>
        <v>30362.764999999999</v>
      </c>
      <c r="T37" s="51"/>
      <c r="U37" s="28"/>
      <c r="V37" s="29"/>
      <c r="W37" s="51">
        <f>W30</f>
        <v>29774.087</v>
      </c>
      <c r="X37" s="51">
        <f>X30</f>
        <v>24427.084999999999</v>
      </c>
      <c r="Y37" s="51">
        <f>Y30</f>
        <v>21949.243999999999</v>
      </c>
      <c r="Z37" s="51">
        <f>Z30</f>
        <v>19961.994999999999</v>
      </c>
      <c r="AA37" s="51"/>
      <c r="AB37" s="28"/>
      <c r="AC37" s="29"/>
      <c r="AD37" s="51">
        <f>AD30</f>
        <v>12181.796</v>
      </c>
      <c r="AE37" s="51">
        <f>AE30</f>
        <v>11636.213</v>
      </c>
      <c r="AF37" s="28"/>
      <c r="AG37" s="29"/>
      <c r="AH37" s="51">
        <f>AH30</f>
        <v>36763.264999999999</v>
      </c>
      <c r="AI37" s="51">
        <f>AI30</f>
        <v>8393.8119999999999</v>
      </c>
      <c r="AJ37" s="28"/>
      <c r="AK37" s="29"/>
      <c r="AL37" s="51">
        <f>AL30</f>
        <v>5846.2910000000002</v>
      </c>
      <c r="AM37" s="51">
        <f>AM30</f>
        <v>3670.1060000000002</v>
      </c>
      <c r="AN37" s="51">
        <f>AN30</f>
        <v>1315.9169999999999</v>
      </c>
      <c r="AO37" s="51"/>
      <c r="AP37" s="28"/>
      <c r="AQ37" s="29"/>
      <c r="AR37" s="51">
        <f>AR30</f>
        <v>14001.914000000001</v>
      </c>
      <c r="AS37" s="51">
        <f>AS30</f>
        <v>10446.491</v>
      </c>
      <c r="AT37" s="51">
        <f>AT30</f>
        <v>8724.7630000000008</v>
      </c>
      <c r="AU37" s="51">
        <f>AU30</f>
        <v>6276.9570000000003</v>
      </c>
      <c r="AV37" s="51"/>
      <c r="AW37" s="28"/>
      <c r="AX37" s="29"/>
      <c r="AY37" s="51">
        <f>AY30</f>
        <v>557134</v>
      </c>
      <c r="AZ37" s="51">
        <f>AZ30</f>
        <v>560320</v>
      </c>
      <c r="BA37" s="28"/>
      <c r="BB37" s="29"/>
      <c r="BC37" s="29">
        <v>0</v>
      </c>
      <c r="BD37" s="29">
        <f>BD30</f>
        <v>148321.81400000001</v>
      </c>
      <c r="BE37" s="28"/>
      <c r="BF37" s="29"/>
      <c r="BG37" s="29">
        <f>BG30</f>
        <v>522829</v>
      </c>
      <c r="BH37" s="29">
        <f>BH30</f>
        <v>512798</v>
      </c>
      <c r="BI37" s="29">
        <f>BI30</f>
        <v>369177</v>
      </c>
      <c r="BJ37" s="29">
        <f>BJ30</f>
        <v>194547</v>
      </c>
      <c r="BK37" s="29"/>
      <c r="BL37" s="28"/>
      <c r="BM37" s="29"/>
      <c r="BN37" s="29">
        <f>BN30</f>
        <v>27232.792000000001</v>
      </c>
      <c r="BO37" s="29">
        <f>BO30</f>
        <v>24514.191999999999</v>
      </c>
      <c r="BP37" s="29">
        <f>BP30</f>
        <v>15168.4</v>
      </c>
      <c r="BQ37" s="29">
        <f>BQ30</f>
        <v>9226.91</v>
      </c>
      <c r="BR37" s="29"/>
      <c r="BS37" s="28"/>
      <c r="BT37" s="29"/>
      <c r="BU37" s="29">
        <f>BU30</f>
        <v>5200.0429999999997</v>
      </c>
      <c r="BV37" s="29">
        <f>BV30</f>
        <v>3693.884</v>
      </c>
      <c r="BW37" s="28"/>
      <c r="BX37" s="29"/>
      <c r="BY37" s="29">
        <f>BY30</f>
        <v>54974</v>
      </c>
      <c r="BZ37" s="29">
        <f>BZ30</f>
        <v>51173</v>
      </c>
      <c r="CA37" s="28"/>
      <c r="CB37" s="29"/>
      <c r="CC37" s="51">
        <f>CC30</f>
        <v>127045.68700000001</v>
      </c>
      <c r="CD37" s="51">
        <f>CD30</f>
        <v>38561.374000000003</v>
      </c>
      <c r="CE37" s="51">
        <f>CE30</f>
        <v>16408.611000000001</v>
      </c>
      <c r="CF37" s="51"/>
      <c r="CG37" s="28"/>
      <c r="CH37" s="29"/>
      <c r="CI37" s="51">
        <f>CI30</f>
        <v>40242</v>
      </c>
      <c r="CJ37" s="51">
        <f>CJ30</f>
        <v>41332</v>
      </c>
      <c r="CK37" s="28"/>
      <c r="CL37" s="29"/>
      <c r="CM37" s="51">
        <f>CM30</f>
        <v>6915.4679999999998</v>
      </c>
      <c r="CN37" s="51">
        <f>CN30</f>
        <v>6958.8940000000002</v>
      </c>
      <c r="CO37" s="51"/>
      <c r="CP37" s="51"/>
      <c r="CQ37" s="51"/>
      <c r="CR37" s="28"/>
      <c r="CS37" s="29"/>
      <c r="CT37" s="51">
        <f>CT30</f>
        <v>3624.5659999999998</v>
      </c>
      <c r="CU37" s="51">
        <f>CU30</f>
        <v>3991.7024000000001</v>
      </c>
      <c r="CV37" s="28"/>
      <c r="CW37" s="29"/>
      <c r="CX37" s="51">
        <f>CX30</f>
        <v>7790.1329999999998</v>
      </c>
      <c r="CY37" s="51">
        <f>CY30</f>
        <v>2971.0250000000001</v>
      </c>
      <c r="CZ37" s="51"/>
      <c r="DA37" s="51"/>
      <c r="DB37" s="28"/>
      <c r="DC37" s="29"/>
      <c r="DD37" s="51">
        <f>DD30</f>
        <v>14952.263000000001</v>
      </c>
      <c r="DE37" s="51">
        <f>DE30</f>
        <v>13898.593000000001</v>
      </c>
      <c r="DF37" s="28"/>
      <c r="DG37" s="29"/>
      <c r="DH37" s="51">
        <f>DH30</f>
        <v>113423.05100000001</v>
      </c>
      <c r="DI37" s="51">
        <f>DI30</f>
        <v>89862.167000000001</v>
      </c>
      <c r="DJ37" s="51"/>
      <c r="DK37" s="51"/>
      <c r="DL37" s="51"/>
      <c r="DM37" s="28"/>
      <c r="DN37" s="29"/>
      <c r="DO37" s="51">
        <f>DO30</f>
        <v>306100</v>
      </c>
      <c r="DP37" s="51">
        <f>DP30</f>
        <v>224765</v>
      </c>
      <c r="DQ37" s="51"/>
      <c r="DR37" s="51"/>
      <c r="DS37" s="51"/>
      <c r="DT37" s="28"/>
      <c r="DU37" s="29"/>
      <c r="DV37" s="51">
        <f>DV30</f>
        <v>6630.7790000000005</v>
      </c>
      <c r="DW37" s="51">
        <f>DW30</f>
        <v>5993.9770000000008</v>
      </c>
      <c r="DX37" s="28"/>
      <c r="DY37" s="29"/>
      <c r="DZ37" s="51">
        <f>DZ30</f>
        <v>690847</v>
      </c>
      <c r="EA37" s="51">
        <f>EA30</f>
        <v>578517</v>
      </c>
      <c r="EB37" s="28"/>
      <c r="EC37" s="29"/>
      <c r="ED37" s="51">
        <f>ED30</f>
        <v>282602.82400000002</v>
      </c>
      <c r="EE37" s="51">
        <f>EE30</f>
        <v>227296.38200000001</v>
      </c>
      <c r="EF37" s="28"/>
      <c r="EG37" s="29"/>
      <c r="EH37" s="51">
        <f>EH30</f>
        <v>5963.6580000000004</v>
      </c>
      <c r="EI37" s="51">
        <f>EI30</f>
        <v>4549.5079999999998</v>
      </c>
      <c r="EJ37" s="28"/>
      <c r="EK37" s="29"/>
      <c r="EL37" s="51">
        <f>EL30</f>
        <v>54474</v>
      </c>
      <c r="EM37" s="51">
        <f>EM30</f>
        <v>46125</v>
      </c>
      <c r="EN37" s="28"/>
      <c r="EO37" s="29"/>
      <c r="EP37" s="51">
        <f>EP30</f>
        <v>31986.859</v>
      </c>
      <c r="EQ37" s="51">
        <f>EQ30</f>
        <v>25172.205000000002</v>
      </c>
      <c r="ER37" s="7"/>
      <c r="ES37" s="8"/>
      <c r="ET37" s="51">
        <f>ET30</f>
        <v>49006.038999999997</v>
      </c>
      <c r="EU37" s="51">
        <f>EU30</f>
        <v>37705.358999999997</v>
      </c>
      <c r="EV37" s="7"/>
      <c r="EW37" s="8"/>
      <c r="EX37" s="51">
        <f>EX30</f>
        <v>1270.93</v>
      </c>
      <c r="EY37" s="51"/>
      <c r="EZ37" s="7"/>
      <c r="FA37" s="8"/>
      <c r="FB37" s="51">
        <f>FB30</f>
        <v>3271.4870000000001</v>
      </c>
      <c r="FC37" s="51">
        <f>FC30</f>
        <v>3022.232</v>
      </c>
      <c r="FD37" s="7"/>
      <c r="FE37" s="8"/>
      <c r="FF37" s="51">
        <f>FF30</f>
        <v>271584</v>
      </c>
      <c r="FG37" s="51">
        <f>FG30</f>
        <v>266404</v>
      </c>
      <c r="FH37" s="7"/>
      <c r="FI37" s="8"/>
      <c r="FJ37" s="51">
        <f>FJ30</f>
        <v>32928.671000000002</v>
      </c>
      <c r="FK37" s="51">
        <f>FK30</f>
        <v>20201.706999999999</v>
      </c>
      <c r="FL37" s="7"/>
      <c r="FM37" s="8"/>
      <c r="FN37" s="51">
        <f>FN30</f>
        <v>854392.74399999995</v>
      </c>
      <c r="FO37" s="51">
        <f>FO30</f>
        <v>746499.97499999998</v>
      </c>
      <c r="FP37" s="7"/>
      <c r="FQ37" s="8"/>
      <c r="FR37" s="51">
        <f>FR30</f>
        <v>28390.5</v>
      </c>
      <c r="FS37" s="51">
        <f>FS30</f>
        <v>28788.577000000001</v>
      </c>
      <c r="FT37" s="7"/>
      <c r="FU37" s="8"/>
      <c r="FV37" s="51">
        <f>FV30</f>
        <v>5796.44</v>
      </c>
      <c r="FW37" s="51">
        <f>FW30</f>
        <v>4752.6899999999996</v>
      </c>
      <c r="FX37" s="7"/>
      <c r="FY37" s="8"/>
      <c r="FZ37" s="51">
        <f>FZ30</f>
        <v>171608</v>
      </c>
      <c r="GA37" s="51">
        <f>GA30</f>
        <v>171944</v>
      </c>
      <c r="GB37" s="7"/>
      <c r="GC37" s="8"/>
      <c r="GD37" s="51">
        <f>GD30</f>
        <v>1218.7380000000001</v>
      </c>
      <c r="GE37" s="51">
        <f>GE30</f>
        <v>1047.2940000000001</v>
      </c>
      <c r="GF37" s="7"/>
      <c r="GG37" s="8"/>
      <c r="GH37" s="51">
        <f>GH30</f>
        <v>380021.13699999999</v>
      </c>
      <c r="GI37" s="51">
        <f>GI30</f>
        <v>425465.14500000002</v>
      </c>
      <c r="GJ37" s="7"/>
      <c r="GK37" s="8"/>
      <c r="GL37" s="51">
        <f>GL30</f>
        <v>31368.802</v>
      </c>
      <c r="GM37" s="51">
        <f>GM30</f>
        <v>8575.125</v>
      </c>
      <c r="GN37" s="7"/>
      <c r="GO37" s="8"/>
      <c r="GP37" s="51">
        <f>GP30</f>
        <v>1487156</v>
      </c>
      <c r="GQ37" s="51">
        <f>GQ30</f>
        <v>1149580</v>
      </c>
      <c r="GR37" s="7"/>
      <c r="GS37" s="8"/>
      <c r="GT37" s="51">
        <f>GT30</f>
        <v>120801</v>
      </c>
      <c r="GU37" s="51"/>
      <c r="GV37" s="7"/>
      <c r="GW37" s="8"/>
      <c r="GX37" s="51">
        <f>GX30</f>
        <v>18831.053</v>
      </c>
      <c r="GY37" s="51">
        <f>GY30</f>
        <v>16552.453000000001</v>
      </c>
      <c r="GZ37" s="7"/>
      <c r="HA37" s="8"/>
      <c r="HB37" s="51">
        <f>HB30</f>
        <v>215292.2</v>
      </c>
      <c r="HC37" s="51"/>
      <c r="HD37" s="7"/>
      <c r="HE37" s="8"/>
      <c r="HF37" s="51">
        <f>HF30</f>
        <v>458487.3</v>
      </c>
      <c r="HG37" s="51">
        <f>HG30</f>
        <v>246295.58499999999</v>
      </c>
      <c r="HH37" s="51">
        <f>HH30</f>
        <v>244178.967</v>
      </c>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6" customFormat="1" ht="12.75" customHeight="1" x14ac:dyDescent="0.2">
      <c r="C38" s="28"/>
      <c r="D38" s="29"/>
      <c r="E38" s="55"/>
      <c r="F38" s="55"/>
      <c r="G38" s="55"/>
      <c r="H38" s="55"/>
      <c r="I38" s="55"/>
      <c r="J38" s="28"/>
      <c r="K38" s="29"/>
      <c r="L38" s="51"/>
      <c r="M38" s="51"/>
      <c r="N38" s="28"/>
      <c r="O38" s="29"/>
      <c r="P38" s="51"/>
      <c r="Q38" s="51"/>
      <c r="R38" s="51"/>
      <c r="S38" s="51"/>
      <c r="T38" s="51"/>
      <c r="U38" s="28"/>
      <c r="V38" s="29"/>
      <c r="W38" s="51"/>
      <c r="X38" s="51"/>
      <c r="Y38" s="51"/>
      <c r="Z38" s="51"/>
      <c r="AA38" s="51"/>
      <c r="AB38" s="28"/>
      <c r="AC38" s="29"/>
      <c r="AD38" s="51"/>
      <c r="AE38" s="51"/>
      <c r="AF38" s="28"/>
      <c r="AG38" s="29"/>
      <c r="AH38" s="51"/>
      <c r="AI38" s="51"/>
      <c r="AJ38" s="28"/>
      <c r="AK38" s="29"/>
      <c r="AL38" s="51"/>
      <c r="AM38" s="51"/>
      <c r="AN38" s="51"/>
      <c r="AO38" s="51"/>
      <c r="AP38" s="28"/>
      <c r="AQ38" s="29"/>
      <c r="AR38" s="51"/>
      <c r="AS38" s="51"/>
      <c r="AT38" s="51"/>
      <c r="AU38" s="51"/>
      <c r="AV38" s="51"/>
      <c r="AW38" s="28"/>
      <c r="AX38" s="29"/>
      <c r="AY38" s="51"/>
      <c r="AZ38" s="51"/>
      <c r="BA38" s="28"/>
      <c r="BB38" s="29"/>
      <c r="BC38" s="29"/>
      <c r="BD38" s="29"/>
      <c r="BE38" s="28"/>
      <c r="BF38" s="29"/>
      <c r="BG38" s="29"/>
      <c r="BH38" s="29"/>
      <c r="BI38" s="29"/>
      <c r="BJ38" s="29"/>
      <c r="BK38" s="29"/>
      <c r="BL38" s="28"/>
      <c r="BM38" s="29"/>
      <c r="BN38" s="29"/>
      <c r="BO38" s="29"/>
      <c r="BP38" s="29"/>
      <c r="BQ38" s="29"/>
      <c r="BR38" s="29"/>
      <c r="BS38" s="28"/>
      <c r="BT38" s="29"/>
      <c r="BU38" s="29"/>
      <c r="BV38" s="29"/>
      <c r="BW38" s="28"/>
      <c r="BX38" s="29"/>
      <c r="BY38" s="51"/>
      <c r="BZ38" s="51"/>
      <c r="CA38" s="28"/>
      <c r="CB38" s="29"/>
      <c r="CC38" s="51"/>
      <c r="CD38" s="51"/>
      <c r="CE38" s="51"/>
      <c r="CF38" s="51"/>
      <c r="CG38" s="28"/>
      <c r="CH38" s="29"/>
      <c r="CI38" s="51"/>
      <c r="CJ38" s="51"/>
      <c r="CK38" s="28"/>
      <c r="CL38" s="29"/>
      <c r="CM38" s="51"/>
      <c r="CN38" s="51"/>
      <c r="CO38" s="51"/>
      <c r="CP38" s="51"/>
      <c r="CQ38" s="51"/>
      <c r="CR38" s="28"/>
      <c r="CS38" s="29"/>
      <c r="CT38" s="51"/>
      <c r="CU38" s="51"/>
      <c r="CV38" s="28"/>
      <c r="CW38" s="29"/>
      <c r="CX38" s="51"/>
      <c r="CY38" s="51"/>
      <c r="CZ38" s="51"/>
      <c r="DA38" s="51"/>
      <c r="DB38" s="28"/>
      <c r="DC38" s="29"/>
      <c r="DD38" s="51"/>
      <c r="DE38" s="51"/>
      <c r="DF38" s="28"/>
      <c r="DG38" s="29"/>
      <c r="DH38" s="51"/>
      <c r="DI38" s="51"/>
      <c r="DJ38" s="51"/>
      <c r="DK38" s="51"/>
      <c r="DL38" s="51"/>
      <c r="DM38" s="28"/>
      <c r="DN38" s="29"/>
      <c r="DO38" s="51"/>
      <c r="DP38" s="51"/>
      <c r="DQ38" s="51"/>
      <c r="DR38" s="51"/>
      <c r="DS38" s="51"/>
      <c r="DT38" s="28"/>
      <c r="DU38" s="29"/>
      <c r="DV38" s="51"/>
      <c r="DW38" s="51"/>
      <c r="DX38" s="28"/>
      <c r="DY38" s="29"/>
      <c r="DZ38" s="51"/>
      <c r="EA38" s="51"/>
      <c r="EB38" s="28"/>
      <c r="EC38" s="29"/>
      <c r="ED38" s="51"/>
      <c r="EE38" s="51"/>
      <c r="EF38" s="28"/>
      <c r="EG38" s="29"/>
      <c r="EH38" s="51"/>
      <c r="EI38" s="51"/>
      <c r="EJ38" s="28"/>
      <c r="EK38" s="29"/>
      <c r="EL38" s="51"/>
      <c r="EM38" s="51"/>
      <c r="EN38" s="28"/>
      <c r="EO38" s="29"/>
      <c r="EP38" s="51"/>
      <c r="EQ38" s="51"/>
      <c r="ER38" s="7"/>
      <c r="ES38" s="8"/>
      <c r="ET38" s="51"/>
      <c r="EU38" s="51"/>
      <c r="EV38" s="7"/>
      <c r="EW38" s="8"/>
      <c r="EX38" s="51"/>
      <c r="EY38" s="51"/>
      <c r="EZ38" s="7"/>
      <c r="FA38" s="8"/>
      <c r="FB38" s="51"/>
      <c r="FC38" s="51"/>
      <c r="FD38" s="7"/>
      <c r="FE38" s="8"/>
      <c r="FF38" s="51"/>
      <c r="FG38" s="51"/>
      <c r="FH38" s="7"/>
      <c r="FI38" s="8"/>
      <c r="FJ38" s="51"/>
      <c r="FK38" s="51"/>
      <c r="FL38" s="7"/>
      <c r="FM38" s="8"/>
      <c r="FN38" s="51"/>
      <c r="FO38" s="51"/>
      <c r="FP38" s="7"/>
      <c r="FQ38" s="8"/>
      <c r="FR38" s="51"/>
      <c r="FS38" s="51"/>
      <c r="FT38" s="7"/>
      <c r="FU38" s="8"/>
      <c r="FV38" s="51"/>
      <c r="FW38" s="51"/>
      <c r="FX38" s="7"/>
      <c r="FY38" s="8"/>
      <c r="FZ38" s="51"/>
      <c r="GA38" s="51"/>
      <c r="GB38" s="7"/>
      <c r="GC38" s="8"/>
      <c r="GD38" s="51"/>
      <c r="GE38" s="51"/>
      <c r="GF38" s="7"/>
      <c r="GG38" s="8"/>
      <c r="GH38" s="51"/>
      <c r="GI38" s="51"/>
      <c r="GJ38" s="7"/>
      <c r="GK38" s="8"/>
      <c r="GL38" s="51"/>
      <c r="GM38" s="51"/>
      <c r="GN38" s="7"/>
      <c r="GO38" s="8"/>
      <c r="GP38" s="51"/>
      <c r="GQ38" s="51"/>
      <c r="GR38" s="7"/>
      <c r="GS38" s="8"/>
      <c r="GT38" s="51"/>
      <c r="GU38" s="51"/>
      <c r="GV38" s="7"/>
      <c r="GW38" s="8"/>
      <c r="GX38" s="51"/>
      <c r="GY38" s="51"/>
      <c r="GZ38" s="7"/>
      <c r="HA38" s="8"/>
      <c r="HB38" s="51"/>
      <c r="HC38" s="51"/>
      <c r="HD38" s="7"/>
      <c r="HE38" s="8"/>
      <c r="HF38" s="51"/>
      <c r="HG38" s="51"/>
      <c r="HH38" s="51"/>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6" customFormat="1" ht="12.75" customHeight="1" x14ac:dyDescent="0.2">
      <c r="A39" s="75" t="s">
        <v>144</v>
      </c>
      <c r="B39" s="65"/>
      <c r="C39" s="28"/>
      <c r="D39" s="29"/>
      <c r="E39" s="55"/>
      <c r="F39" s="55"/>
      <c r="G39" s="55"/>
      <c r="H39" s="55"/>
      <c r="I39" s="55"/>
      <c r="J39" s="28"/>
      <c r="K39" s="29"/>
      <c r="L39" s="51"/>
      <c r="M39" s="51"/>
      <c r="N39" s="28"/>
      <c r="O39" s="29"/>
      <c r="P39" s="51"/>
      <c r="Q39" s="51"/>
      <c r="R39" s="51"/>
      <c r="S39" s="51"/>
      <c r="T39" s="51"/>
      <c r="U39" s="28"/>
      <c r="V39" s="29"/>
      <c r="W39" s="51"/>
      <c r="X39" s="51"/>
      <c r="Y39" s="51"/>
      <c r="Z39" s="51"/>
      <c r="AA39" s="51"/>
      <c r="AB39" s="28"/>
      <c r="AC39" s="29"/>
      <c r="AD39" s="51"/>
      <c r="AE39" s="51"/>
      <c r="AF39" s="28"/>
      <c r="AG39" s="29"/>
      <c r="AH39" s="51"/>
      <c r="AI39" s="51"/>
      <c r="AJ39" s="28"/>
      <c r="AK39" s="29"/>
      <c r="AL39" s="51"/>
      <c r="AM39" s="51"/>
      <c r="AN39" s="51"/>
      <c r="AO39" s="51"/>
      <c r="AP39" s="28"/>
      <c r="AQ39" s="29"/>
      <c r="AR39" s="51"/>
      <c r="AS39" s="51"/>
      <c r="AT39" s="51"/>
      <c r="AU39" s="51"/>
      <c r="AV39" s="51"/>
      <c r="AW39" s="28"/>
      <c r="AX39" s="29"/>
      <c r="AY39" s="51"/>
      <c r="AZ39" s="51"/>
      <c r="BA39" s="28"/>
      <c r="BB39" s="29"/>
      <c r="BC39" s="29"/>
      <c r="BD39" s="29"/>
      <c r="BE39" s="28"/>
      <c r="BF39" s="29"/>
      <c r="BG39" s="29"/>
      <c r="BH39" s="29"/>
      <c r="BI39" s="29"/>
      <c r="BJ39" s="29"/>
      <c r="BK39" s="29"/>
      <c r="BL39" s="28"/>
      <c r="BM39" s="29"/>
      <c r="BN39" s="29"/>
      <c r="BO39" s="29"/>
      <c r="BP39" s="29"/>
      <c r="BQ39" s="29"/>
      <c r="BR39" s="29"/>
      <c r="BS39" s="28"/>
      <c r="BT39" s="29"/>
      <c r="BU39" s="29"/>
      <c r="BV39" s="29"/>
      <c r="BW39" s="28"/>
      <c r="BX39" s="29"/>
      <c r="BY39" s="51"/>
      <c r="BZ39" s="51"/>
      <c r="CA39" s="28"/>
      <c r="CB39" s="29"/>
      <c r="CC39" s="51"/>
      <c r="CD39" s="51"/>
      <c r="CE39" s="51"/>
      <c r="CF39" s="51"/>
      <c r="CG39" s="28"/>
      <c r="CH39" s="29"/>
      <c r="CI39" s="51"/>
      <c r="CJ39" s="51"/>
      <c r="CK39" s="28"/>
      <c r="CL39" s="29"/>
      <c r="CM39" s="51"/>
      <c r="CN39" s="51"/>
      <c r="CO39" s="51"/>
      <c r="CP39" s="51"/>
      <c r="CQ39" s="51"/>
      <c r="CR39" s="28"/>
      <c r="CS39" s="29"/>
      <c r="CT39" s="51"/>
      <c r="CU39" s="51"/>
      <c r="CV39" s="28"/>
      <c r="CW39" s="29"/>
      <c r="CX39" s="51"/>
      <c r="CY39" s="51"/>
      <c r="CZ39" s="51"/>
      <c r="DA39" s="51"/>
      <c r="DB39" s="28"/>
      <c r="DC39" s="29"/>
      <c r="DD39" s="51"/>
      <c r="DE39" s="51"/>
      <c r="DF39" s="28"/>
      <c r="DG39" s="29"/>
      <c r="DH39" s="51"/>
      <c r="DI39" s="51"/>
      <c r="DJ39" s="51"/>
      <c r="DK39" s="51"/>
      <c r="DL39" s="51"/>
      <c r="DM39" s="28"/>
      <c r="DN39" s="29"/>
      <c r="DO39" s="51"/>
      <c r="DP39" s="51"/>
      <c r="DQ39" s="51"/>
      <c r="DR39" s="51"/>
      <c r="DS39" s="51"/>
      <c r="DT39" s="28"/>
      <c r="DU39" s="29"/>
      <c r="DV39" s="51"/>
      <c r="DW39" s="51"/>
      <c r="DX39" s="28"/>
      <c r="DY39" s="29"/>
      <c r="DZ39" s="51"/>
      <c r="EA39" s="51"/>
      <c r="EB39" s="28"/>
      <c r="EC39" s="29"/>
      <c r="ED39" s="51"/>
      <c r="EE39" s="51"/>
      <c r="EF39" s="28"/>
      <c r="EG39" s="29"/>
      <c r="EH39" s="51"/>
      <c r="EI39" s="51"/>
      <c r="EJ39" s="28"/>
      <c r="EK39" s="29"/>
      <c r="EL39" s="51"/>
      <c r="EM39" s="51"/>
      <c r="EN39" s="28"/>
      <c r="EO39" s="29"/>
      <c r="EP39" s="51"/>
      <c r="EQ39" s="51"/>
      <c r="ER39" s="7"/>
      <c r="ES39" s="8"/>
      <c r="ET39" s="51"/>
      <c r="EU39" s="51"/>
      <c r="EV39" s="7"/>
      <c r="EW39" s="8"/>
      <c r="EX39" s="51"/>
      <c r="EY39" s="51"/>
      <c r="EZ39" s="7"/>
      <c r="FA39" s="8"/>
      <c r="FB39" s="51"/>
      <c r="FC39" s="51"/>
      <c r="FD39" s="7"/>
      <c r="FE39" s="8"/>
      <c r="FF39" s="51"/>
      <c r="FG39" s="51"/>
      <c r="FH39" s="7"/>
      <c r="FI39" s="8"/>
      <c r="FJ39" s="51"/>
      <c r="FK39" s="51"/>
      <c r="FL39" s="7"/>
      <c r="FM39" s="8"/>
      <c r="FN39" s="51"/>
      <c r="FO39" s="51"/>
      <c r="FP39" s="7"/>
      <c r="FQ39" s="8"/>
      <c r="FR39" s="51"/>
      <c r="FS39" s="51"/>
      <c r="FT39" s="7"/>
      <c r="FU39" s="8"/>
      <c r="FV39" s="51"/>
      <c r="FW39" s="51"/>
      <c r="FX39" s="7"/>
      <c r="FY39" s="8"/>
      <c r="FZ39" s="51"/>
      <c r="GA39" s="51"/>
      <c r="GB39" s="7"/>
      <c r="GC39" s="8"/>
      <c r="GD39" s="51"/>
      <c r="GE39" s="51"/>
      <c r="GF39" s="7"/>
      <c r="GG39" s="8"/>
      <c r="GH39" s="51"/>
      <c r="GI39" s="51"/>
      <c r="GJ39" s="7"/>
      <c r="GK39" s="8"/>
      <c r="GL39" s="51"/>
      <c r="GM39" s="51"/>
      <c r="GN39" s="7"/>
      <c r="GO39" s="8"/>
      <c r="GP39" s="51"/>
      <c r="GQ39" s="51"/>
      <c r="GR39" s="7"/>
      <c r="GS39" s="8"/>
      <c r="GT39" s="51"/>
      <c r="GU39" s="51"/>
      <c r="GV39" s="7"/>
      <c r="GW39" s="8"/>
      <c r="GX39" s="51"/>
      <c r="GY39" s="51"/>
      <c r="GZ39" s="7"/>
      <c r="HA39" s="8"/>
      <c r="HB39" s="51"/>
      <c r="HC39" s="51"/>
      <c r="HD39" s="7"/>
      <c r="HE39" s="8"/>
      <c r="HF39" s="51"/>
      <c r="HG39" s="51"/>
      <c r="HH39" s="51"/>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74" customFormat="1" x14ac:dyDescent="0.2">
      <c r="B40" s="76" t="s">
        <v>145</v>
      </c>
      <c r="C40" s="48"/>
      <c r="D40" s="49"/>
      <c r="E40" s="34">
        <v>0</v>
      </c>
      <c r="F40" s="34">
        <v>0</v>
      </c>
      <c r="G40" s="34">
        <v>0</v>
      </c>
      <c r="H40" s="34">
        <v>0</v>
      </c>
      <c r="I40" s="34"/>
      <c r="J40" s="37"/>
      <c r="K40" s="36"/>
      <c r="L40" s="35"/>
      <c r="M40" s="35"/>
      <c r="N40" s="48"/>
      <c r="O40" s="49"/>
      <c r="P40" s="35">
        <v>149.887</v>
      </c>
      <c r="Q40" s="35">
        <v>231.63</v>
      </c>
      <c r="R40" s="35">
        <v>218.71100000000001</v>
      </c>
      <c r="S40" s="35">
        <v>602.17399999999998</v>
      </c>
      <c r="T40" s="35"/>
      <c r="U40" s="37"/>
      <c r="V40" s="36"/>
      <c r="W40" s="35">
        <v>27.959091999999998</v>
      </c>
      <c r="X40" s="35">
        <v>21626.491999999998</v>
      </c>
      <c r="Y40" s="35">
        <v>20063.101999999999</v>
      </c>
      <c r="Z40" s="35">
        <v>16607.219000000001</v>
      </c>
      <c r="AA40" s="35"/>
      <c r="AB40" s="37"/>
      <c r="AC40" s="36"/>
      <c r="AD40" s="35"/>
      <c r="AE40" s="35"/>
      <c r="AF40" s="37"/>
      <c r="AG40" s="36"/>
      <c r="AH40" s="35"/>
      <c r="AI40" s="35"/>
      <c r="AJ40" s="37"/>
      <c r="AK40" s="36"/>
      <c r="AL40" s="35"/>
      <c r="AM40" s="35"/>
      <c r="AN40" s="35"/>
      <c r="AO40" s="35"/>
      <c r="AP40" s="37"/>
      <c r="AQ40" s="36"/>
      <c r="AR40" s="35">
        <f>909.095+773.707</f>
        <v>1682.8020000000001</v>
      </c>
      <c r="AS40" s="35">
        <f>951.306+281.281</f>
        <v>1232.587</v>
      </c>
      <c r="AT40" s="35">
        <v>740.77599999999995</v>
      </c>
      <c r="AU40" s="35">
        <v>693.26700000000005</v>
      </c>
      <c r="AV40" s="35"/>
      <c r="AW40" s="37"/>
      <c r="AX40" s="36"/>
      <c r="AY40" s="35"/>
      <c r="AZ40" s="35"/>
      <c r="BA40" s="37"/>
      <c r="BB40" s="36"/>
      <c r="BC40" s="36"/>
      <c r="BD40" s="36"/>
      <c r="BE40" s="37"/>
      <c r="BF40" s="36"/>
      <c r="BG40" s="36">
        <f>13741+805</f>
        <v>14546</v>
      </c>
      <c r="BH40" s="36">
        <f>29250</f>
        <v>29250</v>
      </c>
      <c r="BI40" s="36">
        <f>26435</f>
        <v>26435</v>
      </c>
      <c r="BJ40" s="36">
        <f>6417+6107</f>
        <v>12524</v>
      </c>
      <c r="BK40" s="36"/>
      <c r="BL40" s="37"/>
      <c r="BM40" s="36"/>
      <c r="BN40" s="36">
        <v>3872.2440000000001</v>
      </c>
      <c r="BO40" s="36">
        <v>1312.3489999999999</v>
      </c>
      <c r="BP40" s="36">
        <f>526.979+268.843+258.136</f>
        <v>1053.9580000000001</v>
      </c>
      <c r="BQ40" s="36">
        <f>217.646+114.675+156.971</f>
        <v>489.29199999999997</v>
      </c>
      <c r="BR40" s="36"/>
      <c r="BS40" s="37"/>
      <c r="BT40" s="36"/>
      <c r="BU40" s="36">
        <v>0</v>
      </c>
      <c r="BV40" s="36">
        <v>0</v>
      </c>
      <c r="BW40" s="37"/>
      <c r="BX40" s="36"/>
      <c r="BY40" s="80"/>
      <c r="BZ40" s="35"/>
      <c r="CA40" s="37"/>
      <c r="CB40" s="36"/>
      <c r="CC40" s="35"/>
      <c r="CD40" s="35"/>
      <c r="CE40" s="35"/>
      <c r="CF40" s="35"/>
      <c r="CG40" s="37"/>
      <c r="CH40" s="36"/>
      <c r="CI40" s="35"/>
      <c r="CJ40" s="35"/>
      <c r="CK40" s="37"/>
      <c r="CL40" s="36"/>
      <c r="CM40" s="35">
        <f>799.904+460.036</f>
        <v>1259.94</v>
      </c>
      <c r="CN40" s="35">
        <f>793.639+240.501</f>
        <v>1034.1400000000001</v>
      </c>
      <c r="CO40" s="35"/>
      <c r="CP40" s="35"/>
      <c r="CQ40" s="35"/>
      <c r="CR40" s="37"/>
      <c r="CS40" s="36"/>
      <c r="CT40" s="35">
        <v>746.85199999999998</v>
      </c>
      <c r="CU40" s="35">
        <v>0</v>
      </c>
      <c r="CV40" s="37"/>
      <c r="CW40" s="36"/>
      <c r="CX40" s="35">
        <v>69.373999999999995</v>
      </c>
      <c r="CY40" s="35">
        <v>0</v>
      </c>
      <c r="CZ40" s="35"/>
      <c r="DA40" s="35"/>
      <c r="DB40" s="37"/>
      <c r="DC40" s="36"/>
      <c r="DD40" s="35">
        <v>0</v>
      </c>
      <c r="DE40" s="35">
        <v>0</v>
      </c>
      <c r="DF40" s="37"/>
      <c r="DG40" s="36"/>
      <c r="DH40" s="35">
        <v>1947</v>
      </c>
      <c r="DI40" s="35">
        <v>303.34699999999998</v>
      </c>
      <c r="DJ40" s="35"/>
      <c r="DK40" s="35"/>
      <c r="DL40" s="35"/>
      <c r="DM40" s="37"/>
      <c r="DN40" s="36"/>
      <c r="DO40" s="80">
        <f>5610+5952+621</f>
        <v>12183</v>
      </c>
      <c r="DP40" s="35">
        <f>9917+5579+1736</f>
        <v>17232</v>
      </c>
      <c r="DQ40" s="35"/>
      <c r="DR40" s="35"/>
      <c r="DS40" s="35"/>
      <c r="DT40" s="37"/>
      <c r="DU40" s="36"/>
      <c r="DV40" s="35"/>
      <c r="DW40" s="35"/>
      <c r="DX40" s="37"/>
      <c r="DY40" s="36"/>
      <c r="DZ40" s="35">
        <f>1900+401+1000</f>
        <v>3301</v>
      </c>
      <c r="EA40" s="35">
        <v>18513</v>
      </c>
      <c r="EB40" s="37"/>
      <c r="EC40" s="36"/>
      <c r="ED40" s="35">
        <v>0.253</v>
      </c>
      <c r="EE40" s="35">
        <v>0</v>
      </c>
      <c r="EF40" s="37"/>
      <c r="EG40" s="36"/>
      <c r="EH40" s="35">
        <v>0</v>
      </c>
      <c r="EI40" s="35">
        <v>0</v>
      </c>
      <c r="EJ40" s="37"/>
      <c r="EK40" s="36"/>
      <c r="EL40" s="35">
        <v>0</v>
      </c>
      <c r="EM40" s="35">
        <v>0</v>
      </c>
      <c r="EN40" s="37"/>
      <c r="EO40" s="36"/>
      <c r="EP40" s="35">
        <v>0</v>
      </c>
      <c r="EQ40" s="35">
        <v>0</v>
      </c>
      <c r="ER40" s="72"/>
      <c r="ES40" s="73"/>
      <c r="ET40" s="35">
        <v>301.36500000000001</v>
      </c>
      <c r="EU40" s="35">
        <v>20.248999999999999</v>
      </c>
      <c r="EV40" s="72"/>
      <c r="EW40" s="73"/>
      <c r="EX40" s="35"/>
      <c r="EY40" s="35"/>
      <c r="EZ40" s="72"/>
      <c r="FA40" s="73"/>
      <c r="FB40" s="35"/>
      <c r="FC40" s="35"/>
      <c r="FD40" s="72"/>
      <c r="FE40" s="73"/>
      <c r="FF40" s="35">
        <v>677</v>
      </c>
      <c r="FG40" s="35">
        <v>1419</v>
      </c>
      <c r="FH40" s="72"/>
      <c r="FI40" s="73"/>
      <c r="FJ40" s="35">
        <v>215</v>
      </c>
      <c r="FK40" s="35">
        <v>433.30900000000003</v>
      </c>
      <c r="FL40" s="72"/>
      <c r="FM40" s="73"/>
      <c r="FN40" s="35"/>
      <c r="FO40" s="35"/>
      <c r="FP40" s="72"/>
      <c r="FQ40" s="73"/>
      <c r="FR40" s="35"/>
      <c r="FS40" s="35"/>
      <c r="FT40" s="72"/>
      <c r="FU40" s="73"/>
      <c r="FV40" s="35"/>
      <c r="FW40" s="35"/>
      <c r="FX40" s="72"/>
      <c r="FY40" s="73"/>
      <c r="FZ40" s="35"/>
      <c r="GA40" s="35"/>
      <c r="GB40" s="72"/>
      <c r="GC40" s="73"/>
      <c r="GD40" s="35"/>
      <c r="GE40" s="35"/>
      <c r="GF40" s="72"/>
      <c r="GG40" s="73"/>
      <c r="GH40" s="35"/>
      <c r="GI40" s="35"/>
      <c r="GJ40" s="72"/>
      <c r="GK40" s="73"/>
      <c r="GL40" s="35">
        <v>712.44799999999998</v>
      </c>
      <c r="GM40" s="35">
        <v>14.457000000000001</v>
      </c>
      <c r="GN40" s="72"/>
      <c r="GO40" s="73"/>
      <c r="GP40" s="35"/>
      <c r="GQ40" s="35"/>
      <c r="GR40" s="72"/>
      <c r="GS40" s="73"/>
      <c r="GT40" s="35"/>
      <c r="GU40" s="35"/>
      <c r="GV40" s="72"/>
      <c r="GW40" s="73"/>
      <c r="GX40" s="35">
        <v>75.850999999999999</v>
      </c>
      <c r="GY40" s="35">
        <v>40</v>
      </c>
      <c r="GZ40" s="72"/>
      <c r="HA40" s="73"/>
      <c r="HB40" s="35" t="s">
        <v>146</v>
      </c>
      <c r="HC40" s="35"/>
      <c r="HD40" s="72"/>
      <c r="HE40" s="73"/>
      <c r="HF40" s="35"/>
      <c r="HG40" s="35"/>
      <c r="HH40" s="35"/>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58" customFormat="1" x14ac:dyDescent="0.2">
      <c r="B41" s="39" t="s">
        <v>147</v>
      </c>
      <c r="C41" s="44"/>
      <c r="D41" s="45"/>
      <c r="E41" s="42">
        <v>0</v>
      </c>
      <c r="F41" s="42">
        <v>0</v>
      </c>
      <c r="G41" s="42">
        <v>0</v>
      </c>
      <c r="H41" s="42">
        <v>0</v>
      </c>
      <c r="I41" s="42"/>
      <c r="J41" s="44"/>
      <c r="K41" s="45"/>
      <c r="L41" s="43"/>
      <c r="M41" s="43"/>
      <c r="N41" s="44"/>
      <c r="O41" s="45"/>
      <c r="P41" s="43">
        <v>1692.93</v>
      </c>
      <c r="Q41" s="43">
        <v>600.83699999999999</v>
      </c>
      <c r="R41" s="43">
        <v>157.72399999999999</v>
      </c>
      <c r="S41" s="43">
        <v>16.361000000000001</v>
      </c>
      <c r="T41" s="43"/>
      <c r="U41" s="44"/>
      <c r="V41" s="45"/>
      <c r="W41" s="43">
        <v>0</v>
      </c>
      <c r="X41" s="43">
        <v>0</v>
      </c>
      <c r="Y41" s="43">
        <v>0</v>
      </c>
      <c r="Z41" s="43">
        <v>0</v>
      </c>
      <c r="AA41" s="43"/>
      <c r="AB41" s="44"/>
      <c r="AC41" s="45"/>
      <c r="AD41" s="43">
        <v>472.72699999999998</v>
      </c>
      <c r="AE41" s="43">
        <v>452.75299999999999</v>
      </c>
      <c r="AF41" s="44"/>
      <c r="AG41" s="45"/>
      <c r="AH41" s="43"/>
      <c r="AI41" s="43"/>
      <c r="AJ41" s="44"/>
      <c r="AK41" s="45"/>
      <c r="AL41" s="43"/>
      <c r="AM41" s="43"/>
      <c r="AN41" s="43"/>
      <c r="AO41" s="43"/>
      <c r="AP41" s="44"/>
      <c r="AQ41" s="45"/>
      <c r="AR41" s="43">
        <f>980.115</f>
        <v>980.11500000000001</v>
      </c>
      <c r="AS41" s="43">
        <f>745.969</f>
        <v>745.96900000000005</v>
      </c>
      <c r="AT41" s="43">
        <v>952.37599999999998</v>
      </c>
      <c r="AU41" s="43">
        <v>1390.732</v>
      </c>
      <c r="AV41" s="43"/>
      <c r="AW41" s="44"/>
      <c r="AX41" s="45"/>
      <c r="AY41" s="43"/>
      <c r="AZ41" s="43"/>
      <c r="BA41" s="44"/>
      <c r="BB41" s="45"/>
      <c r="BC41" s="41"/>
      <c r="BD41" s="41"/>
      <c r="BE41" s="44"/>
      <c r="BF41" s="45"/>
      <c r="BG41" s="41">
        <f>2896</f>
        <v>2896</v>
      </c>
      <c r="BH41" s="41">
        <f>8521</f>
        <v>8521</v>
      </c>
      <c r="BI41" s="41">
        <v>8006</v>
      </c>
      <c r="BJ41" s="41">
        <f>4554</f>
        <v>4554</v>
      </c>
      <c r="BK41" s="41"/>
      <c r="BL41" s="44"/>
      <c r="BM41" s="45"/>
      <c r="BN41" s="41">
        <v>674.97299999999996</v>
      </c>
      <c r="BO41" s="41">
        <v>245.547</v>
      </c>
      <c r="BP41" s="41">
        <v>183.732</v>
      </c>
      <c r="BQ41" s="41">
        <v>58.027000000000001</v>
      </c>
      <c r="BR41" s="41"/>
      <c r="BS41" s="44"/>
      <c r="BT41" s="41"/>
      <c r="BU41" s="41">
        <v>0</v>
      </c>
      <c r="BV41" s="41">
        <v>0</v>
      </c>
      <c r="BW41" s="44"/>
      <c r="BX41" s="45"/>
      <c r="BY41" s="81"/>
      <c r="BZ41" s="43"/>
      <c r="CA41" s="40"/>
      <c r="CB41" s="41"/>
      <c r="CC41" s="43">
        <v>0</v>
      </c>
      <c r="CD41" s="43">
        <v>0</v>
      </c>
      <c r="CE41" s="43">
        <v>0</v>
      </c>
      <c r="CF41" s="43"/>
      <c r="CG41" s="44"/>
      <c r="CH41" s="45"/>
      <c r="CI41" s="43">
        <v>355</v>
      </c>
      <c r="CJ41" s="43">
        <v>375</v>
      </c>
      <c r="CK41" s="44"/>
      <c r="CL41" s="45"/>
      <c r="CM41" s="43">
        <v>612.83100000000002</v>
      </c>
      <c r="CN41" s="43">
        <v>551.67499999999995</v>
      </c>
      <c r="CO41" s="43"/>
      <c r="CP41" s="43"/>
      <c r="CQ41" s="43"/>
      <c r="CR41" s="44"/>
      <c r="CS41" s="45"/>
      <c r="CT41" s="43">
        <v>583.48</v>
      </c>
      <c r="CU41" s="43">
        <v>426.59300000000002</v>
      </c>
      <c r="CV41" s="44"/>
      <c r="CW41" s="45"/>
      <c r="CX41" s="43">
        <v>26.963999999999999</v>
      </c>
      <c r="CY41" s="43">
        <v>0</v>
      </c>
      <c r="CZ41" s="43"/>
      <c r="DA41" s="43"/>
      <c r="DB41" s="40"/>
      <c r="DC41" s="41"/>
      <c r="DD41" s="43">
        <v>0</v>
      </c>
      <c r="DE41" s="43">
        <v>0</v>
      </c>
      <c r="DF41" s="40"/>
      <c r="DG41" s="41"/>
      <c r="DH41" s="43">
        <v>31.106999999999999</v>
      </c>
      <c r="DI41" s="43">
        <v>128.72800000000001</v>
      </c>
      <c r="DJ41" s="43"/>
      <c r="DK41" s="43"/>
      <c r="DL41" s="43"/>
      <c r="DM41" s="44"/>
      <c r="DN41" s="45"/>
      <c r="DO41" s="81">
        <v>5824</v>
      </c>
      <c r="DP41" s="43">
        <v>1316</v>
      </c>
      <c r="DQ41" s="43"/>
      <c r="DR41" s="43"/>
      <c r="DS41" s="43"/>
      <c r="DT41" s="44"/>
      <c r="DU41" s="45"/>
      <c r="DV41" s="43">
        <v>358.48399999999998</v>
      </c>
      <c r="DW41" s="43">
        <v>392.66399999999999</v>
      </c>
      <c r="DX41" s="44"/>
      <c r="DY41" s="45"/>
      <c r="DZ41" s="43">
        <v>1458</v>
      </c>
      <c r="EA41" s="43">
        <v>194</v>
      </c>
      <c r="EB41" s="44"/>
      <c r="EC41" s="45"/>
      <c r="ED41" s="43">
        <v>1.3180000000000001</v>
      </c>
      <c r="EE41" s="43">
        <v>0</v>
      </c>
      <c r="EF41" s="44"/>
      <c r="EG41" s="45"/>
      <c r="EH41" s="43">
        <v>0</v>
      </c>
      <c r="EI41" s="43">
        <v>0</v>
      </c>
      <c r="EJ41" s="44"/>
      <c r="EK41" s="45"/>
      <c r="EL41" s="43">
        <v>1233</v>
      </c>
      <c r="EM41" s="43">
        <v>738</v>
      </c>
      <c r="EN41" s="44"/>
      <c r="EO41" s="45"/>
      <c r="EP41" s="43">
        <v>1413.021</v>
      </c>
      <c r="EQ41" s="43">
        <v>1574.3040000000001</v>
      </c>
      <c r="ER41" s="63"/>
      <c r="ES41" s="64"/>
      <c r="ET41" s="43">
        <v>966.30100000000004</v>
      </c>
      <c r="EU41" s="43">
        <v>121.386</v>
      </c>
      <c r="EV41" s="63"/>
      <c r="EW41" s="8"/>
      <c r="EX41" s="35"/>
      <c r="EY41" s="35"/>
      <c r="EZ41" s="63"/>
      <c r="FA41" s="64"/>
      <c r="FB41" s="43"/>
      <c r="FC41" s="43"/>
      <c r="FD41" s="63"/>
      <c r="FE41" s="64"/>
      <c r="FF41" s="43">
        <v>175</v>
      </c>
      <c r="FG41" s="43">
        <v>169</v>
      </c>
      <c r="FH41" s="63"/>
      <c r="FI41" s="64"/>
      <c r="FJ41" s="43">
        <v>869.27200000000005</v>
      </c>
      <c r="FK41" s="43">
        <v>335.976</v>
      </c>
      <c r="FL41" s="63"/>
      <c r="FM41" s="64"/>
      <c r="FN41" s="43"/>
      <c r="FO41" s="43"/>
      <c r="FP41" s="63"/>
      <c r="FQ41" s="64"/>
      <c r="FR41" s="43"/>
      <c r="FS41" s="43"/>
      <c r="FT41" s="63"/>
      <c r="FU41" s="64"/>
      <c r="FV41" s="43"/>
      <c r="FW41" s="43"/>
      <c r="FX41" s="63"/>
      <c r="FY41" s="64"/>
      <c r="FZ41" s="43"/>
      <c r="GA41" s="43"/>
      <c r="GB41" s="63"/>
      <c r="GC41" s="64"/>
      <c r="GD41" s="43"/>
      <c r="GE41" s="43"/>
      <c r="GF41" s="63"/>
      <c r="GG41" s="64"/>
      <c r="GH41" s="43"/>
      <c r="GI41" s="43"/>
      <c r="GJ41" s="63"/>
      <c r="GK41" s="64"/>
      <c r="GL41" s="43">
        <v>71.549000000000007</v>
      </c>
      <c r="GM41" s="43">
        <v>0</v>
      </c>
      <c r="GN41" s="63"/>
      <c r="GO41" s="64"/>
      <c r="GP41" s="43"/>
      <c r="GQ41" s="43"/>
      <c r="GR41" s="63"/>
      <c r="GS41" s="64"/>
      <c r="GT41" s="43"/>
      <c r="GU41" s="43"/>
      <c r="GV41" s="63"/>
      <c r="GW41" s="64"/>
      <c r="GX41" s="43">
        <v>200.19900000000001</v>
      </c>
      <c r="GY41" s="43">
        <v>126.613</v>
      </c>
      <c r="GZ41" s="63"/>
      <c r="HA41" s="64"/>
      <c r="HB41" s="43"/>
      <c r="HC41" s="43"/>
      <c r="HD41" s="63"/>
      <c r="HE41" s="64"/>
      <c r="HF41" s="43"/>
      <c r="HG41" s="43"/>
      <c r="HH41" s="43"/>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x14ac:dyDescent="0.2">
      <c r="B42" s="65" t="s">
        <v>148</v>
      </c>
      <c r="C42" s="48"/>
      <c r="D42" s="49"/>
      <c r="E42" s="77">
        <v>0</v>
      </c>
      <c r="F42" s="77">
        <v>0</v>
      </c>
      <c r="G42" s="77">
        <v>0</v>
      </c>
      <c r="H42" s="77">
        <v>0</v>
      </c>
      <c r="I42" s="77"/>
      <c r="J42" s="31"/>
      <c r="K42" s="30"/>
      <c r="L42" s="35"/>
      <c r="M42" s="35"/>
      <c r="N42" s="48"/>
      <c r="O42" s="49"/>
      <c r="P42" s="32">
        <f>SUM(P40:P41)</f>
        <v>1842.817</v>
      </c>
      <c r="Q42" s="32">
        <f>SUM(Q40:Q41)</f>
        <v>832.46699999999998</v>
      </c>
      <c r="R42" s="32">
        <f>SUM(R40:R41)</f>
        <v>376.435</v>
      </c>
      <c r="S42" s="32">
        <f>SUM(S40:S41)</f>
        <v>618.53499999999997</v>
      </c>
      <c r="T42" s="32"/>
      <c r="U42" s="31"/>
      <c r="V42" s="30"/>
      <c r="W42" s="32">
        <f>SUM(W40:W41)</f>
        <v>27.959091999999998</v>
      </c>
      <c r="X42" s="32">
        <f>SUM(X40:X41)</f>
        <v>21626.491999999998</v>
      </c>
      <c r="Y42" s="32">
        <f>SUM(Y40:Y41)</f>
        <v>20063.101999999999</v>
      </c>
      <c r="Z42" s="32">
        <f>SUM(Z40:Z41)</f>
        <v>16607.219000000001</v>
      </c>
      <c r="AA42" s="32"/>
      <c r="AB42" s="31"/>
      <c r="AC42" s="30"/>
      <c r="AD42" s="32">
        <f>SUM(AD40:AD41)</f>
        <v>472.72699999999998</v>
      </c>
      <c r="AE42" s="32">
        <f>SUM(AE40:AE41)</f>
        <v>452.75299999999999</v>
      </c>
      <c r="AF42" s="31"/>
      <c r="AG42" s="30"/>
      <c r="AH42" s="32"/>
      <c r="AI42" s="32"/>
      <c r="AJ42" s="31"/>
      <c r="AK42" s="30"/>
      <c r="AL42" s="35"/>
      <c r="AM42" s="35"/>
      <c r="AN42" s="35"/>
      <c r="AO42" s="35"/>
      <c r="AP42" s="31"/>
      <c r="AQ42" s="30"/>
      <c r="AR42" s="32">
        <f>SUM(AR40:AR41)</f>
        <v>2662.9170000000004</v>
      </c>
      <c r="AS42" s="32">
        <f>SUM(AS40:AS41)</f>
        <v>1978.556</v>
      </c>
      <c r="AT42" s="32">
        <f>SUM(AT40:AT41)</f>
        <v>1693.152</v>
      </c>
      <c r="AU42" s="32">
        <f>SUM(AU40:AU41)</f>
        <v>2083.9989999999998</v>
      </c>
      <c r="AV42" s="32"/>
      <c r="AW42" s="31"/>
      <c r="AX42" s="30"/>
      <c r="AY42" s="35"/>
      <c r="AZ42" s="35"/>
      <c r="BA42" s="31"/>
      <c r="BB42" s="30"/>
      <c r="BC42" s="30"/>
      <c r="BD42" s="30"/>
      <c r="BE42" s="31"/>
      <c r="BF42" s="30"/>
      <c r="BG42" s="36">
        <f>SUM(BG40:BG41)</f>
        <v>17442</v>
      </c>
      <c r="BH42" s="36">
        <f>SUM(BH40:BH41)</f>
        <v>37771</v>
      </c>
      <c r="BI42" s="36">
        <f>SUM(BI40:BI41)</f>
        <v>34441</v>
      </c>
      <c r="BJ42" s="36">
        <f>SUM(BJ40:BJ41)</f>
        <v>17078</v>
      </c>
      <c r="BK42" s="36"/>
      <c r="BL42" s="31"/>
      <c r="BM42" s="30"/>
      <c r="BN42" s="30">
        <f>SUM(BN40:BN41)</f>
        <v>4547.2170000000006</v>
      </c>
      <c r="BO42" s="30">
        <f>SUM(BO40:BO41)</f>
        <v>1557.896</v>
      </c>
      <c r="BP42" s="30">
        <f>SUM(BP40:BP41)</f>
        <v>1237.69</v>
      </c>
      <c r="BQ42" s="30">
        <f>SUM(BQ40:BQ41)</f>
        <v>547.31899999999996</v>
      </c>
      <c r="BR42" s="30"/>
      <c r="BS42" s="31"/>
      <c r="BT42" s="30"/>
      <c r="BU42" s="30">
        <v>0</v>
      </c>
      <c r="BV42" s="30">
        <v>0</v>
      </c>
      <c r="BW42" s="31"/>
      <c r="BX42" s="30"/>
      <c r="BY42" s="32">
        <v>0</v>
      </c>
      <c r="BZ42" s="32"/>
      <c r="CA42" s="31"/>
      <c r="CB42" s="30"/>
      <c r="CC42" s="32">
        <v>0</v>
      </c>
      <c r="CD42" s="32">
        <v>0</v>
      </c>
      <c r="CE42" s="32">
        <v>0</v>
      </c>
      <c r="CF42" s="32"/>
      <c r="CG42" s="31"/>
      <c r="CH42" s="30"/>
      <c r="CI42" s="32"/>
      <c r="CJ42" s="32"/>
      <c r="CK42" s="31"/>
      <c r="CL42" s="30"/>
      <c r="CM42" s="32">
        <f>SUM(CM40:CM41)</f>
        <v>1872.7710000000002</v>
      </c>
      <c r="CN42" s="32">
        <f>SUM(CN40:CN41)</f>
        <v>1585.8150000000001</v>
      </c>
      <c r="CO42" s="32"/>
      <c r="CP42" s="32"/>
      <c r="CQ42" s="32"/>
      <c r="CR42" s="31"/>
      <c r="CS42" s="30"/>
      <c r="CT42" s="32">
        <f>SUM(CT40:CT41)</f>
        <v>1330.3319999999999</v>
      </c>
      <c r="CU42" s="32">
        <f>SUM(CU40:CU41)</f>
        <v>426.59300000000002</v>
      </c>
      <c r="CV42" s="31"/>
      <c r="CW42" s="30"/>
      <c r="CX42" s="32">
        <f>SUM(CX40:CX41)</f>
        <v>96.337999999999994</v>
      </c>
      <c r="CY42" s="32">
        <f>SUM(CY40:CY41)</f>
        <v>0</v>
      </c>
      <c r="CZ42" s="32"/>
      <c r="DA42" s="32"/>
      <c r="DB42" s="31"/>
      <c r="DC42" s="30"/>
      <c r="DD42" s="32">
        <v>0</v>
      </c>
      <c r="DE42" s="32">
        <v>0</v>
      </c>
      <c r="DF42" s="31"/>
      <c r="DG42" s="30"/>
      <c r="DH42" s="32">
        <f>SUM(DH40:DH41)</f>
        <v>1978.107</v>
      </c>
      <c r="DI42" s="32">
        <f>SUM(DI40:DI41)</f>
        <v>432.07499999999999</v>
      </c>
      <c r="DJ42" s="32"/>
      <c r="DK42" s="32"/>
      <c r="DL42" s="32"/>
      <c r="DM42" s="31"/>
      <c r="DN42" s="30"/>
      <c r="DO42" s="32">
        <f>SUM(DO40:DO41)</f>
        <v>18007</v>
      </c>
      <c r="DP42" s="32">
        <f>SUM(DP40:DP41)</f>
        <v>18548</v>
      </c>
      <c r="DQ42" s="32"/>
      <c r="DR42" s="32"/>
      <c r="DS42" s="32"/>
      <c r="DT42" s="31"/>
      <c r="DU42" s="30"/>
      <c r="DV42" s="32"/>
      <c r="DW42" s="32"/>
      <c r="DX42" s="31"/>
      <c r="DY42" s="30"/>
      <c r="DZ42" s="32">
        <f>SUM(DZ40:DZ41)</f>
        <v>4759</v>
      </c>
      <c r="EA42" s="32">
        <f>SUM(EA40:EA41)</f>
        <v>18707</v>
      </c>
      <c r="EB42" s="31"/>
      <c r="EC42" s="30"/>
      <c r="ED42" s="32">
        <f>SUM(ED40:ED41)</f>
        <v>1.5710000000000002</v>
      </c>
      <c r="EE42" s="32">
        <f>SUM(EE40:EE41)</f>
        <v>0</v>
      </c>
      <c r="EF42" s="31"/>
      <c r="EG42" s="30"/>
      <c r="EH42" s="32">
        <v>0</v>
      </c>
      <c r="EI42" s="32">
        <v>0</v>
      </c>
      <c r="EJ42" s="31"/>
      <c r="EK42" s="30"/>
      <c r="EL42" s="32">
        <f>SUM(EL40:EL41)</f>
        <v>1233</v>
      </c>
      <c r="EM42" s="32">
        <f>SUM(EM40:EM41)</f>
        <v>738</v>
      </c>
      <c r="EN42" s="31"/>
      <c r="EO42" s="30"/>
      <c r="EP42" s="32">
        <f>SUM(EP40:EP41)</f>
        <v>1413.021</v>
      </c>
      <c r="EQ42" s="32">
        <f>SUM(EQ40:EQ41)</f>
        <v>1574.3040000000001</v>
      </c>
      <c r="ET42" s="32">
        <f>SUM(ET40:ET41)</f>
        <v>1267.6660000000002</v>
      </c>
      <c r="EU42" s="32">
        <f>SUM(EU40:EU41)</f>
        <v>141.63499999999999</v>
      </c>
      <c r="EX42" s="35"/>
      <c r="EY42" s="35"/>
      <c r="FB42" s="32"/>
      <c r="FC42" s="32"/>
      <c r="FF42" s="32">
        <f>SUM(FF40:FF41)</f>
        <v>852</v>
      </c>
      <c r="FG42" s="32">
        <f>SUM(FG40:FG41)</f>
        <v>1588</v>
      </c>
      <c r="FJ42" s="32">
        <f>SUM(FJ40:FJ41)</f>
        <v>1084.2719999999999</v>
      </c>
      <c r="FK42" s="32">
        <f>SUM(FK40:FK41)</f>
        <v>769.28500000000008</v>
      </c>
      <c r="FN42" s="32"/>
      <c r="FO42" s="32"/>
      <c r="FR42" s="32"/>
      <c r="FS42" s="32"/>
      <c r="FV42" s="32"/>
      <c r="FW42" s="32"/>
      <c r="FZ42" s="32"/>
      <c r="GA42" s="32"/>
      <c r="GD42" s="32"/>
      <c r="GE42" s="32"/>
      <c r="GH42" s="32"/>
      <c r="GI42" s="32"/>
      <c r="GL42" s="32">
        <f>SUM(GL40:GL41)</f>
        <v>783.99699999999996</v>
      </c>
      <c r="GM42" s="32">
        <f>SUM(GM40:GM41)</f>
        <v>14.457000000000001</v>
      </c>
      <c r="GP42" s="32"/>
      <c r="GQ42" s="32"/>
      <c r="GT42" s="32"/>
      <c r="GU42" s="32"/>
      <c r="GX42" s="32">
        <f>SUM(GX40:GX41)</f>
        <v>276.05</v>
      </c>
      <c r="GY42" s="32">
        <f>SUM(GY40:GY41)</f>
        <v>166.613</v>
      </c>
      <c r="HB42" s="32"/>
      <c r="HC42" s="32"/>
      <c r="HF42" s="32"/>
      <c r="HG42" s="32"/>
      <c r="HH42" s="32"/>
    </row>
    <row r="43" spans="1:256" ht="6" customHeight="1" x14ac:dyDescent="0.2">
      <c r="B43" s="65"/>
      <c r="C43" s="28"/>
      <c r="D43" s="29"/>
      <c r="E43" s="77"/>
      <c r="F43" s="77"/>
      <c r="G43" s="77"/>
      <c r="H43" s="77"/>
      <c r="I43" s="77"/>
      <c r="J43" s="31"/>
      <c r="K43" s="30"/>
      <c r="L43" s="32"/>
      <c r="M43" s="32"/>
      <c r="N43" s="28"/>
      <c r="O43" s="29"/>
      <c r="P43" s="32"/>
      <c r="Q43" s="32"/>
      <c r="R43" s="32"/>
      <c r="S43" s="32"/>
      <c r="T43" s="32"/>
      <c r="U43" s="31"/>
      <c r="V43" s="30"/>
      <c r="W43" s="32"/>
      <c r="X43" s="32"/>
      <c r="Y43" s="32"/>
      <c r="Z43" s="32"/>
      <c r="AA43" s="32"/>
      <c r="AB43" s="31"/>
      <c r="AC43" s="30"/>
      <c r="AD43" s="32"/>
      <c r="AE43" s="32"/>
      <c r="AF43" s="31"/>
      <c r="AG43" s="30"/>
      <c r="AH43" s="32"/>
      <c r="AI43" s="32"/>
      <c r="AJ43" s="31"/>
      <c r="AK43" s="30"/>
      <c r="AL43" s="32"/>
      <c r="AM43" s="32"/>
      <c r="AN43" s="32"/>
      <c r="AO43" s="32"/>
      <c r="AP43" s="31"/>
      <c r="AQ43" s="30"/>
      <c r="AR43" s="32"/>
      <c r="AS43" s="32"/>
      <c r="AT43" s="32"/>
      <c r="AU43" s="32"/>
      <c r="AV43" s="32"/>
      <c r="AW43" s="31"/>
      <c r="AX43" s="30"/>
      <c r="AY43" s="32"/>
      <c r="AZ43" s="32"/>
      <c r="BA43" s="31"/>
      <c r="BB43" s="30"/>
      <c r="BC43" s="30"/>
      <c r="BD43" s="30"/>
      <c r="BE43" s="31"/>
      <c r="BF43" s="30"/>
      <c r="BG43" s="30"/>
      <c r="BH43" s="30"/>
      <c r="BI43" s="30"/>
      <c r="BJ43" s="30"/>
      <c r="BK43" s="30"/>
      <c r="BL43" s="31"/>
      <c r="BM43" s="30"/>
      <c r="BN43" s="30"/>
      <c r="BO43" s="30"/>
      <c r="BP43" s="30"/>
      <c r="BQ43" s="30"/>
      <c r="BR43" s="30"/>
      <c r="BS43" s="31"/>
      <c r="BT43" s="30"/>
      <c r="BU43" s="30"/>
      <c r="BV43" s="30"/>
      <c r="BW43" s="31"/>
      <c r="BX43" s="30"/>
      <c r="BY43" s="32"/>
      <c r="BZ43" s="32"/>
      <c r="CA43" s="31"/>
      <c r="CB43" s="30"/>
      <c r="CC43" s="32"/>
      <c r="CD43" s="32"/>
      <c r="CE43" s="32"/>
      <c r="CF43" s="32"/>
      <c r="CG43" s="31"/>
      <c r="CH43" s="30"/>
      <c r="CI43" s="32"/>
      <c r="CJ43" s="32"/>
      <c r="CK43" s="31"/>
      <c r="CL43" s="30"/>
      <c r="CM43" s="32"/>
      <c r="CN43" s="32"/>
      <c r="CO43" s="32"/>
      <c r="CP43" s="32"/>
      <c r="CQ43" s="32"/>
      <c r="CR43" s="31"/>
      <c r="CS43" s="30"/>
      <c r="CT43" s="32"/>
      <c r="CU43" s="32"/>
      <c r="CV43" s="31"/>
      <c r="CW43" s="30"/>
      <c r="CX43" s="32"/>
      <c r="CY43" s="32"/>
      <c r="CZ43" s="32"/>
      <c r="DA43" s="32"/>
      <c r="DB43" s="31"/>
      <c r="DC43" s="30"/>
      <c r="DD43" s="32"/>
      <c r="DE43" s="32"/>
      <c r="DF43" s="31"/>
      <c r="DG43" s="30"/>
      <c r="DH43" s="32"/>
      <c r="DI43" s="32"/>
      <c r="DJ43" s="32"/>
      <c r="DK43" s="32"/>
      <c r="DL43" s="32"/>
      <c r="DM43" s="31"/>
      <c r="DN43" s="30"/>
      <c r="DO43" s="32"/>
      <c r="DP43" s="32"/>
      <c r="DQ43" s="32"/>
      <c r="DR43" s="32"/>
      <c r="DS43" s="32"/>
      <c r="DT43" s="31"/>
      <c r="DU43" s="30"/>
      <c r="DV43" s="32"/>
      <c r="DW43" s="32"/>
      <c r="DX43" s="31"/>
      <c r="DY43" s="30"/>
      <c r="DZ43" s="32"/>
      <c r="EA43" s="32"/>
      <c r="EB43" s="31"/>
      <c r="EC43" s="30"/>
      <c r="ED43" s="32"/>
      <c r="EE43" s="32"/>
      <c r="EF43" s="31"/>
      <c r="EG43" s="30"/>
      <c r="EH43" s="32"/>
      <c r="EI43" s="32"/>
      <c r="EJ43" s="31"/>
      <c r="EK43" s="30"/>
      <c r="EL43" s="32"/>
      <c r="EM43" s="32"/>
      <c r="EN43" s="31"/>
      <c r="EO43" s="30"/>
      <c r="EP43" s="32"/>
      <c r="EQ43" s="32"/>
      <c r="ET43" s="32"/>
      <c r="EU43" s="32"/>
      <c r="EX43" s="32"/>
      <c r="EY43" s="32"/>
      <c r="FB43" s="32"/>
      <c r="FC43" s="32"/>
      <c r="FF43" s="32"/>
      <c r="FG43" s="32"/>
      <c r="FJ43" s="32"/>
      <c r="FK43" s="32"/>
      <c r="FN43" s="32"/>
      <c r="FO43" s="32"/>
      <c r="FR43" s="32"/>
      <c r="FS43" s="32"/>
      <c r="FV43" s="32"/>
      <c r="FW43" s="32"/>
      <c r="FZ43" s="32"/>
      <c r="GA43" s="32"/>
      <c r="GD43" s="32"/>
      <c r="GE43" s="32"/>
      <c r="GH43" s="32"/>
      <c r="GI43" s="32"/>
      <c r="GL43" s="32"/>
      <c r="GM43" s="32"/>
      <c r="GP43" s="32"/>
      <c r="GQ43" s="32"/>
      <c r="GT43" s="32"/>
      <c r="GU43" s="32"/>
      <c r="GX43" s="32"/>
      <c r="GY43" s="32"/>
      <c r="HB43" s="32"/>
      <c r="HC43" s="32"/>
      <c r="HF43" s="32"/>
      <c r="HG43" s="32"/>
      <c r="HH43" s="32"/>
    </row>
    <row r="44" spans="1:256" s="74" customFormat="1" x14ac:dyDescent="0.2">
      <c r="B44" s="70" t="s">
        <v>149</v>
      </c>
      <c r="C44" s="48"/>
      <c r="D44" s="49"/>
      <c r="E44" s="34">
        <v>0</v>
      </c>
      <c r="F44" s="34">
        <v>0</v>
      </c>
      <c r="G44" s="34"/>
      <c r="H44" s="34"/>
      <c r="I44" s="34"/>
      <c r="J44" s="37"/>
      <c r="K44" s="36"/>
      <c r="L44" s="35"/>
      <c r="M44" s="35"/>
      <c r="N44" s="48"/>
      <c r="O44" s="49"/>
      <c r="P44" s="35">
        <f>81.887</f>
        <v>81.887</v>
      </c>
      <c r="Q44" s="35">
        <v>203.577</v>
      </c>
      <c r="R44" s="35">
        <v>253.19900000000001</v>
      </c>
      <c r="S44" s="35">
        <v>595.61500000000001</v>
      </c>
      <c r="T44" s="35"/>
      <c r="U44" s="37"/>
      <c r="V44" s="36"/>
      <c r="W44" s="35">
        <f>52.908+141.108</f>
        <v>194.01600000000002</v>
      </c>
      <c r="X44" s="35">
        <f>47.804+109.212</f>
        <v>157.01600000000002</v>
      </c>
      <c r="Y44" s="35">
        <f>287.207+102.282</f>
        <v>389.48899999999998</v>
      </c>
      <c r="Z44" s="35">
        <f>33.467+5.176+83.624</f>
        <v>122.267</v>
      </c>
      <c r="AA44" s="35"/>
      <c r="AB44" s="37"/>
      <c r="AC44" s="36"/>
      <c r="AD44" s="35"/>
      <c r="AE44" s="35"/>
      <c r="AF44" s="37"/>
      <c r="AG44" s="36"/>
      <c r="AH44" s="35"/>
      <c r="AI44" s="35"/>
      <c r="AJ44" s="37"/>
      <c r="AK44" s="36"/>
      <c r="AL44" s="35"/>
      <c r="AM44" s="35"/>
      <c r="AN44" s="35"/>
      <c r="AO44" s="35"/>
      <c r="AP44" s="37"/>
      <c r="AQ44" s="36"/>
      <c r="AR44" s="35"/>
      <c r="AS44" s="35"/>
      <c r="AT44" s="35"/>
      <c r="AU44" s="35"/>
      <c r="AV44" s="35"/>
      <c r="AW44" s="37"/>
      <c r="AX44" s="36"/>
      <c r="AY44" s="35"/>
      <c r="AZ44" s="35"/>
      <c r="BA44" s="37"/>
      <c r="BB44" s="36"/>
      <c r="BC44" s="36"/>
      <c r="BD44" s="36"/>
      <c r="BE44" s="37"/>
      <c r="BF44" s="36"/>
      <c r="BG44" s="36">
        <v>1382</v>
      </c>
      <c r="BH44" s="36">
        <f>8855</f>
        <v>8855</v>
      </c>
      <c r="BI44" s="36">
        <v>4042</v>
      </c>
      <c r="BJ44" s="36">
        <v>1200</v>
      </c>
      <c r="BK44" s="36"/>
      <c r="BL44" s="37"/>
      <c r="BM44" s="36"/>
      <c r="BN44" s="36"/>
      <c r="BO44" s="36"/>
      <c r="BP44" s="36"/>
      <c r="BQ44" s="36"/>
      <c r="BR44" s="36"/>
      <c r="BS44" s="37"/>
      <c r="BT44" s="36"/>
      <c r="BU44" s="36">
        <v>50</v>
      </c>
      <c r="BV44" s="36">
        <v>25</v>
      </c>
      <c r="BW44" s="37"/>
      <c r="BX44" s="36"/>
      <c r="BY44" s="35"/>
      <c r="BZ44" s="35"/>
      <c r="CA44" s="37"/>
      <c r="CB44" s="36"/>
      <c r="CC44" s="35"/>
      <c r="CD44" s="35"/>
      <c r="CE44" s="35"/>
      <c r="CF44" s="35"/>
      <c r="CG44" s="37"/>
      <c r="CH44" s="36"/>
      <c r="CI44" s="35"/>
      <c r="CJ44" s="35"/>
      <c r="CK44" s="37"/>
      <c r="CL44" s="36"/>
      <c r="CM44" s="35">
        <v>0</v>
      </c>
      <c r="CN44" s="35">
        <v>0</v>
      </c>
      <c r="CO44" s="35"/>
      <c r="CP44" s="35"/>
      <c r="CQ44" s="35"/>
      <c r="CR44" s="37"/>
      <c r="CS44" s="36"/>
      <c r="CT44" s="35">
        <v>170</v>
      </c>
      <c r="CU44" s="35">
        <v>0</v>
      </c>
      <c r="CV44" s="37"/>
      <c r="CW44" s="36"/>
      <c r="CX44" s="35"/>
      <c r="CY44" s="35"/>
      <c r="CZ44" s="35"/>
      <c r="DA44" s="35"/>
      <c r="DB44" s="31"/>
      <c r="DC44" s="30"/>
      <c r="DD44" s="35"/>
      <c r="DE44" s="35"/>
      <c r="DF44" s="31"/>
      <c r="DG44" s="30"/>
      <c r="DH44" s="35"/>
      <c r="DI44" s="35"/>
      <c r="DJ44" s="35"/>
      <c r="DK44" s="35"/>
      <c r="DL44" s="35"/>
      <c r="DM44" s="37"/>
      <c r="DN44" s="36"/>
      <c r="DO44" s="35">
        <v>547</v>
      </c>
      <c r="DP44" s="35">
        <v>135</v>
      </c>
      <c r="DQ44" s="35"/>
      <c r="DR44" s="35"/>
      <c r="DS44" s="35"/>
      <c r="DT44" s="37"/>
      <c r="DU44" s="36"/>
      <c r="DV44" s="35"/>
      <c r="DW44" s="35"/>
      <c r="DX44" s="37"/>
      <c r="DY44" s="36"/>
      <c r="DZ44" s="35">
        <v>951</v>
      </c>
      <c r="EA44" s="35">
        <v>1481</v>
      </c>
      <c r="EB44" s="37"/>
      <c r="EC44" s="36"/>
      <c r="ED44" s="35"/>
      <c r="EE44" s="35"/>
      <c r="EF44" s="37"/>
      <c r="EG44" s="36"/>
      <c r="EH44" s="35">
        <v>0</v>
      </c>
      <c r="EI44" s="35">
        <v>0</v>
      </c>
      <c r="EJ44" s="37"/>
      <c r="EK44" s="36"/>
      <c r="EL44" s="35">
        <v>0</v>
      </c>
      <c r="EM44" s="35">
        <v>0</v>
      </c>
      <c r="EN44" s="37"/>
      <c r="EO44" s="36"/>
      <c r="EP44" s="35"/>
      <c r="EQ44" s="35"/>
      <c r="ER44" s="72"/>
      <c r="ES44" s="73"/>
      <c r="ET44" s="56">
        <v>525.69299999999998</v>
      </c>
      <c r="EU44" s="56">
        <v>1293.0229999999999</v>
      </c>
      <c r="EV44" s="72"/>
      <c r="EW44" s="73"/>
      <c r="EX44" s="35">
        <v>653.70299999999997</v>
      </c>
      <c r="EY44" s="35">
        <v>552.26199999999994</v>
      </c>
      <c r="EZ44" s="72"/>
      <c r="FA44" s="73"/>
      <c r="FB44" s="35"/>
      <c r="FC44" s="35"/>
      <c r="FD44" s="72"/>
      <c r="FE44" s="73"/>
      <c r="FF44" s="35">
        <v>951</v>
      </c>
      <c r="FG44" s="35">
        <v>781</v>
      </c>
      <c r="FH44" s="72"/>
      <c r="FI44" s="73"/>
      <c r="FJ44" s="35"/>
      <c r="FK44" s="35"/>
      <c r="FL44" s="72"/>
      <c r="FM44" s="73"/>
      <c r="FN44" s="35"/>
      <c r="FO44" s="35"/>
      <c r="FP44" s="72"/>
      <c r="FQ44" s="73"/>
      <c r="FR44" s="35">
        <v>0</v>
      </c>
      <c r="FS44" s="35">
        <v>0</v>
      </c>
      <c r="FT44" s="72"/>
      <c r="FU44" s="73"/>
      <c r="FV44" s="35"/>
      <c r="FW44" s="35"/>
      <c r="FX44" s="72"/>
      <c r="FY44" s="73"/>
      <c r="FZ44" s="35"/>
      <c r="GA44" s="35"/>
      <c r="GB44" s="72"/>
      <c r="GC44" s="73"/>
      <c r="GD44" s="35"/>
      <c r="GE44" s="35"/>
      <c r="GF44" s="72"/>
      <c r="GG44" s="73"/>
      <c r="GH44" s="35"/>
      <c r="GI44" s="35"/>
      <c r="GJ44" s="72"/>
      <c r="GK44" s="73"/>
      <c r="GL44" s="35">
        <v>620.94500000000005</v>
      </c>
      <c r="GM44" s="35">
        <v>55.511000000000003</v>
      </c>
      <c r="GN44" s="72"/>
      <c r="GO44" s="73"/>
      <c r="GP44" s="35"/>
      <c r="GQ44" s="35"/>
      <c r="GR44" s="72"/>
      <c r="GS44" s="73"/>
      <c r="GT44" s="35"/>
      <c r="GU44" s="35"/>
      <c r="GV44" s="72"/>
      <c r="GW44" s="73"/>
      <c r="GX44" s="35">
        <v>47.863</v>
      </c>
      <c r="GY44" s="35">
        <v>112.178</v>
      </c>
      <c r="GZ44" s="72"/>
      <c r="HA44" s="73"/>
      <c r="HB44" s="35"/>
      <c r="HC44" s="35"/>
      <c r="HD44" s="72"/>
      <c r="HE44" s="73"/>
      <c r="HF44" s="35"/>
      <c r="HG44" s="35">
        <v>1216</v>
      </c>
      <c r="HH44" s="35">
        <v>739</v>
      </c>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58" customFormat="1" x14ac:dyDescent="0.2">
      <c r="B45" s="82" t="s">
        <v>150</v>
      </c>
      <c r="C45" s="44"/>
      <c r="D45" s="45"/>
      <c r="E45" s="42">
        <v>525</v>
      </c>
      <c r="F45" s="42">
        <v>400</v>
      </c>
      <c r="G45" s="42">
        <v>200</v>
      </c>
      <c r="H45" s="42">
        <v>0</v>
      </c>
      <c r="I45" s="42"/>
      <c r="J45" s="44"/>
      <c r="K45" s="45"/>
      <c r="L45" s="43"/>
      <c r="M45" s="43"/>
      <c r="N45" s="44"/>
      <c r="O45" s="45"/>
      <c r="P45" s="43">
        <v>210.46</v>
      </c>
      <c r="Q45" s="43">
        <v>108.858</v>
      </c>
      <c r="R45" s="43">
        <v>88.933999999999997</v>
      </c>
      <c r="S45" s="43">
        <v>112.61799999999999</v>
      </c>
      <c r="T45" s="43"/>
      <c r="U45" s="44"/>
      <c r="V45" s="45"/>
      <c r="W45" s="43"/>
      <c r="X45" s="43"/>
      <c r="Y45" s="43"/>
      <c r="Z45" s="43"/>
      <c r="AA45" s="43"/>
      <c r="AB45" s="44"/>
      <c r="AC45" s="45"/>
      <c r="AD45" s="43">
        <v>280</v>
      </c>
      <c r="AE45" s="43">
        <v>235</v>
      </c>
      <c r="AF45" s="44"/>
      <c r="AG45" s="45"/>
      <c r="AH45" s="43"/>
      <c r="AI45" s="43"/>
      <c r="AJ45" s="44"/>
      <c r="AK45" s="45"/>
      <c r="AL45" s="43"/>
      <c r="AM45" s="43"/>
      <c r="AN45" s="43"/>
      <c r="AO45" s="43"/>
      <c r="AP45" s="44"/>
      <c r="AQ45" s="45"/>
      <c r="AR45" s="43"/>
      <c r="AS45" s="43"/>
      <c r="AT45" s="43"/>
      <c r="AU45" s="43"/>
      <c r="AV45" s="43"/>
      <c r="AW45" s="44"/>
      <c r="AX45" s="45"/>
      <c r="AY45" s="43"/>
      <c r="AZ45" s="43"/>
      <c r="BA45" s="44"/>
      <c r="BB45" s="45"/>
      <c r="BC45" s="41"/>
      <c r="BD45" s="41"/>
      <c r="BE45" s="44"/>
      <c r="BF45" s="45"/>
      <c r="BG45" s="41">
        <v>4237</v>
      </c>
      <c r="BH45" s="41">
        <f>2696</f>
        <v>2696</v>
      </c>
      <c r="BI45" s="41">
        <v>1453</v>
      </c>
      <c r="BJ45" s="41">
        <v>545</v>
      </c>
      <c r="BK45" s="41"/>
      <c r="BL45" s="44"/>
      <c r="BM45" s="45"/>
      <c r="BN45" s="41"/>
      <c r="BO45" s="41"/>
      <c r="BP45" s="41"/>
      <c r="BQ45" s="41"/>
      <c r="BR45" s="41"/>
      <c r="BS45" s="44"/>
      <c r="BT45" s="41"/>
      <c r="BU45" s="41">
        <v>0</v>
      </c>
      <c r="BV45" s="41">
        <v>0</v>
      </c>
      <c r="BW45" s="44"/>
      <c r="BX45" s="45"/>
      <c r="BY45" s="43"/>
      <c r="BZ45" s="43"/>
      <c r="CA45" s="40"/>
      <c r="CB45" s="41"/>
      <c r="CC45" s="43"/>
      <c r="CD45" s="43"/>
      <c r="CE45" s="43"/>
      <c r="CF45" s="43"/>
      <c r="CG45" s="44"/>
      <c r="CH45" s="45"/>
      <c r="CI45" s="43">
        <v>277</v>
      </c>
      <c r="CJ45" s="43">
        <v>903</v>
      </c>
      <c r="CK45" s="44"/>
      <c r="CL45" s="45"/>
      <c r="CM45" s="43">
        <v>265.98</v>
      </c>
      <c r="CN45" s="43">
        <v>223.80500000000001</v>
      </c>
      <c r="CO45" s="43"/>
      <c r="CP45" s="43"/>
      <c r="CQ45" s="43"/>
      <c r="CR45" s="44"/>
      <c r="CS45" s="45"/>
      <c r="CT45" s="43">
        <v>80.965000000000003</v>
      </c>
      <c r="CU45" s="43">
        <v>99.593999999999994</v>
      </c>
      <c r="CV45" s="44"/>
      <c r="CW45" s="45"/>
      <c r="CX45" s="43"/>
      <c r="CY45" s="43"/>
      <c r="CZ45" s="43"/>
      <c r="DA45" s="43"/>
      <c r="DB45" s="44"/>
      <c r="DC45" s="45"/>
      <c r="DD45" s="43"/>
      <c r="DE45" s="43"/>
      <c r="DF45" s="44"/>
      <c r="DG45" s="45"/>
      <c r="DH45" s="43">
        <f>DH46</f>
        <v>844.19899999999996</v>
      </c>
      <c r="DI45" s="43">
        <f>DI46</f>
        <v>675.98199999999997</v>
      </c>
      <c r="DJ45" s="43"/>
      <c r="DK45" s="43"/>
      <c r="DL45" s="43"/>
      <c r="DM45" s="44"/>
      <c r="DN45" s="45"/>
      <c r="DO45" s="43">
        <v>3187</v>
      </c>
      <c r="DP45" s="43">
        <v>2910</v>
      </c>
      <c r="DQ45" s="43"/>
      <c r="DR45" s="43"/>
      <c r="DS45" s="43"/>
      <c r="DT45" s="44"/>
      <c r="DU45" s="45"/>
      <c r="DV45" s="43"/>
      <c r="DW45" s="43"/>
      <c r="DX45" s="44"/>
      <c r="DY45" s="45"/>
      <c r="DZ45" s="43">
        <v>4747</v>
      </c>
      <c r="EA45" s="43">
        <v>4243</v>
      </c>
      <c r="EB45" s="44"/>
      <c r="EC45" s="45"/>
      <c r="ED45" s="43"/>
      <c r="EE45" s="43"/>
      <c r="EF45" s="44"/>
      <c r="EG45" s="45"/>
      <c r="EH45" s="43">
        <v>84</v>
      </c>
      <c r="EI45" s="43">
        <v>36</v>
      </c>
      <c r="EJ45" s="44"/>
      <c r="EK45" s="45"/>
      <c r="EL45" s="43">
        <v>1648</v>
      </c>
      <c r="EM45" s="43">
        <v>725</v>
      </c>
      <c r="EN45" s="44"/>
      <c r="EO45" s="45"/>
      <c r="EP45" s="43"/>
      <c r="EQ45" s="43"/>
      <c r="ER45" s="63"/>
      <c r="ES45" s="64"/>
      <c r="ET45" s="43">
        <v>653.70299999999997</v>
      </c>
      <c r="EU45" s="43">
        <v>552.26199999999994</v>
      </c>
      <c r="EV45" s="63"/>
      <c r="EW45" s="64"/>
      <c r="EX45" s="43">
        <v>525.69299999999998</v>
      </c>
      <c r="EY45" s="43">
        <v>1293.0229999999999</v>
      </c>
      <c r="EZ45" s="63"/>
      <c r="FA45" s="64"/>
      <c r="FB45" s="43"/>
      <c r="FC45" s="43"/>
      <c r="FD45" s="63"/>
      <c r="FE45" s="64"/>
      <c r="FF45" s="43">
        <v>1975</v>
      </c>
      <c r="FG45" s="43">
        <v>3844</v>
      </c>
      <c r="FH45" s="63"/>
      <c r="FI45" s="64"/>
      <c r="FJ45" s="43"/>
      <c r="FK45" s="43"/>
      <c r="FL45" s="63"/>
      <c r="FM45" s="64"/>
      <c r="FN45" s="43"/>
      <c r="FO45" s="43"/>
      <c r="FP45" s="63"/>
      <c r="FQ45" s="64"/>
      <c r="FR45" s="43">
        <f>494.598+396.815</f>
        <v>891.41300000000001</v>
      </c>
      <c r="FS45" s="43">
        <f>57.473+0</f>
        <v>57.472999999999999</v>
      </c>
      <c r="FT45" s="63"/>
      <c r="FU45" s="64"/>
      <c r="FV45" s="43"/>
      <c r="FW45" s="43"/>
      <c r="FX45" s="63"/>
      <c r="FY45" s="64"/>
      <c r="FZ45" s="43"/>
      <c r="GA45" s="43"/>
      <c r="GB45" s="63"/>
      <c r="GC45" s="64"/>
      <c r="GD45" s="43"/>
      <c r="GE45" s="43"/>
      <c r="GF45" s="63"/>
      <c r="GG45" s="64"/>
      <c r="GH45" s="43"/>
      <c r="GI45" s="43"/>
      <c r="GJ45" s="63"/>
      <c r="GK45" s="64"/>
      <c r="GL45" s="43">
        <v>208.059</v>
      </c>
      <c r="GM45" s="43">
        <v>28.195</v>
      </c>
      <c r="GN45" s="63"/>
      <c r="GO45" s="64"/>
      <c r="GP45" s="43">
        <v>38195</v>
      </c>
      <c r="GQ45" s="43">
        <v>26034</v>
      </c>
      <c r="GR45" s="63"/>
      <c r="GS45" s="64"/>
      <c r="GT45" s="43"/>
      <c r="GU45" s="43"/>
      <c r="GV45" s="63"/>
      <c r="GW45" s="64"/>
      <c r="GX45" s="43">
        <v>335.55500000000001</v>
      </c>
      <c r="GY45" s="43">
        <v>176.34200000000001</v>
      </c>
      <c r="GZ45" s="63"/>
      <c r="HA45" s="64"/>
      <c r="HB45" s="43"/>
      <c r="HC45" s="43"/>
      <c r="HD45" s="63"/>
      <c r="HE45" s="64"/>
      <c r="HF45" s="43"/>
      <c r="HG45" s="43">
        <v>0</v>
      </c>
      <c r="HH45" s="43">
        <v>145</v>
      </c>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74" customFormat="1" ht="12.75" customHeight="1" x14ac:dyDescent="0.2">
      <c r="B46" s="5" t="s">
        <v>151</v>
      </c>
      <c r="C46" s="48"/>
      <c r="D46" s="49"/>
      <c r="E46" s="77">
        <f>SUM(E44:E45)</f>
        <v>525</v>
      </c>
      <c r="F46" s="77">
        <f>SUM(F44:F45)</f>
        <v>400</v>
      </c>
      <c r="G46" s="77">
        <f>SUM(G44:G45)</f>
        <v>200</v>
      </c>
      <c r="H46" s="77">
        <f>SUM(H44:H45)</f>
        <v>0</v>
      </c>
      <c r="I46" s="77"/>
      <c r="J46" s="37"/>
      <c r="K46" s="36"/>
      <c r="L46" s="35"/>
      <c r="M46" s="35"/>
      <c r="N46" s="48"/>
      <c r="O46" s="49"/>
      <c r="P46" s="32">
        <f>SUM(P44:P45)</f>
        <v>292.34699999999998</v>
      </c>
      <c r="Q46" s="32">
        <f>SUM(Q44:Q45)</f>
        <v>312.435</v>
      </c>
      <c r="R46" s="32">
        <f>SUM(R44:R45)</f>
        <v>342.13300000000004</v>
      </c>
      <c r="S46" s="32">
        <f>SUM(S44:S45)</f>
        <v>708.23299999999995</v>
      </c>
      <c r="T46" s="32"/>
      <c r="U46" s="37"/>
      <c r="V46" s="36"/>
      <c r="W46" s="32">
        <f>SUM(W44:W45)</f>
        <v>194.01600000000002</v>
      </c>
      <c r="X46" s="32">
        <f>SUM(X44:X45)</f>
        <v>157.01600000000002</v>
      </c>
      <c r="Y46" s="32">
        <f>SUM(Y44:Y45)</f>
        <v>389.48899999999998</v>
      </c>
      <c r="Z46" s="32">
        <f>SUM(Z44:Z45)</f>
        <v>122.267</v>
      </c>
      <c r="AA46" s="32"/>
      <c r="AB46" s="37"/>
      <c r="AC46" s="36"/>
      <c r="AD46" s="32">
        <f>SUM(AD44:AD45)</f>
        <v>280</v>
      </c>
      <c r="AE46" s="32">
        <f>SUM(AE44:AE45)</f>
        <v>235</v>
      </c>
      <c r="AF46" s="37"/>
      <c r="AG46" s="36"/>
      <c r="AH46" s="35"/>
      <c r="AI46" s="35"/>
      <c r="AJ46" s="37"/>
      <c r="AK46" s="36"/>
      <c r="AL46" s="35"/>
      <c r="AM46" s="35"/>
      <c r="AN46" s="35"/>
      <c r="AO46" s="35"/>
      <c r="AP46" s="37"/>
      <c r="AQ46" s="36"/>
      <c r="AR46" s="32">
        <v>536.43700000000001</v>
      </c>
      <c r="AS46" s="32">
        <v>315.95899999999995</v>
      </c>
      <c r="AT46" s="32">
        <v>206.90800000000004</v>
      </c>
      <c r="AU46" s="32">
        <v>93.742000000000004</v>
      </c>
      <c r="AV46" s="32"/>
      <c r="AW46" s="37"/>
      <c r="AX46" s="36"/>
      <c r="AY46" s="35"/>
      <c r="AZ46" s="35"/>
      <c r="BA46" s="37"/>
      <c r="BB46" s="36"/>
      <c r="BC46" s="36"/>
      <c r="BD46" s="36"/>
      <c r="BE46" s="37"/>
      <c r="BF46" s="36"/>
      <c r="BG46" s="36">
        <f>SUM(BG44:BG45)</f>
        <v>5619</v>
      </c>
      <c r="BH46" s="36">
        <f>SUM(BH44:BH45)</f>
        <v>11551</v>
      </c>
      <c r="BI46" s="36">
        <f>SUM(BI44:BI45)</f>
        <v>5495</v>
      </c>
      <c r="BJ46" s="36">
        <f>SUM(BJ44:BJ45)</f>
        <v>1745</v>
      </c>
      <c r="BK46" s="36"/>
      <c r="BL46" s="37"/>
      <c r="BM46" s="36"/>
      <c r="BN46" s="36">
        <v>1868.2550000000001</v>
      </c>
      <c r="BO46" s="36">
        <v>750</v>
      </c>
      <c r="BP46" s="36"/>
      <c r="BQ46" s="36"/>
      <c r="BR46" s="36"/>
      <c r="BS46" s="37"/>
      <c r="BT46" s="30"/>
      <c r="BU46" s="30">
        <f>SUM(BU44:BU45)</f>
        <v>50</v>
      </c>
      <c r="BV46" s="30">
        <f>SUM(BV44:BV45)</f>
        <v>25</v>
      </c>
      <c r="BW46" s="37"/>
      <c r="BX46" s="36"/>
      <c r="BY46" s="32">
        <v>0</v>
      </c>
      <c r="BZ46" s="32"/>
      <c r="CA46" s="31"/>
      <c r="CB46" s="30"/>
      <c r="CC46" s="32">
        <v>0</v>
      </c>
      <c r="CD46" s="32">
        <v>0</v>
      </c>
      <c r="CE46" s="32">
        <v>0</v>
      </c>
      <c r="CF46" s="32"/>
      <c r="CG46" s="37"/>
      <c r="CH46" s="36"/>
      <c r="CI46" s="32"/>
      <c r="CJ46" s="32"/>
      <c r="CK46" s="37"/>
      <c r="CL46" s="36"/>
      <c r="CM46" s="32">
        <f>SUM(CM44:CM45)</f>
        <v>265.98</v>
      </c>
      <c r="CN46" s="32">
        <f>SUM(CN44:CN45)</f>
        <v>223.80500000000001</v>
      </c>
      <c r="CO46" s="32"/>
      <c r="CP46" s="32"/>
      <c r="CQ46" s="32"/>
      <c r="CR46" s="37"/>
      <c r="CS46" s="36"/>
      <c r="CT46" s="32">
        <f>SUM(CT44:CT45)</f>
        <v>250.965</v>
      </c>
      <c r="CU46" s="32">
        <f>SUM(CU44:CU45)</f>
        <v>99.593999999999994</v>
      </c>
      <c r="CV46" s="37"/>
      <c r="CW46" s="36"/>
      <c r="CX46" s="32"/>
      <c r="CY46" s="32"/>
      <c r="CZ46" s="32"/>
      <c r="DA46" s="32"/>
      <c r="DB46" s="31"/>
      <c r="DC46" s="30"/>
      <c r="DD46" s="32"/>
      <c r="DE46" s="32"/>
      <c r="DF46" s="31"/>
      <c r="DG46" s="30"/>
      <c r="DH46" s="32">
        <v>844.19899999999996</v>
      </c>
      <c r="DI46" s="32">
        <v>675.98199999999997</v>
      </c>
      <c r="DJ46" s="32"/>
      <c r="DK46" s="32"/>
      <c r="DL46" s="32"/>
      <c r="DM46" s="37"/>
      <c r="DN46" s="36"/>
      <c r="DO46" s="32">
        <v>3734</v>
      </c>
      <c r="DP46" s="32">
        <v>3045</v>
      </c>
      <c r="DQ46" s="32"/>
      <c r="DR46" s="32"/>
      <c r="DS46" s="32"/>
      <c r="DT46" s="37"/>
      <c r="DU46" s="36"/>
      <c r="DV46" s="32"/>
      <c r="DW46" s="32"/>
      <c r="DX46" s="37"/>
      <c r="DY46" s="36"/>
      <c r="DZ46" s="32">
        <f>SUM(DZ44:DZ45)</f>
        <v>5698</v>
      </c>
      <c r="EA46" s="32">
        <f>SUM(EA44:EA45)</f>
        <v>5724</v>
      </c>
      <c r="EB46" s="37"/>
      <c r="EC46" s="36"/>
      <c r="ED46" s="32">
        <f>SUM(ED44:ED45)</f>
        <v>0</v>
      </c>
      <c r="EE46" s="32">
        <f>SUM(EE44:EE45)</f>
        <v>0</v>
      </c>
      <c r="EF46" s="37"/>
      <c r="EG46" s="36"/>
      <c r="EH46" s="32">
        <f>SUM(EH44:EH45)</f>
        <v>84</v>
      </c>
      <c r="EI46" s="32">
        <f>SUM(EI44:EI45)</f>
        <v>36</v>
      </c>
      <c r="EJ46" s="37"/>
      <c r="EK46" s="36"/>
      <c r="EL46" s="32">
        <f>SUM(EL44:EL45)</f>
        <v>1648</v>
      </c>
      <c r="EM46" s="32">
        <f>SUM(EM44:EM45)</f>
        <v>725</v>
      </c>
      <c r="EN46" s="37"/>
      <c r="EO46" s="36"/>
      <c r="EP46" s="32"/>
      <c r="EQ46" s="32"/>
      <c r="ER46" s="72"/>
      <c r="ES46" s="73"/>
      <c r="ET46" s="32">
        <f>SUM(ET44:ET45)</f>
        <v>1179.396</v>
      </c>
      <c r="EU46" s="32">
        <f>SUM(EU44:EU45)</f>
        <v>1845.2849999999999</v>
      </c>
      <c r="EV46" s="72"/>
      <c r="EW46" s="73"/>
      <c r="EX46" s="32"/>
      <c r="EY46" s="32"/>
      <c r="EZ46" s="72"/>
      <c r="FA46" s="73"/>
      <c r="FB46" s="32"/>
      <c r="FC46" s="32"/>
      <c r="FD46" s="72"/>
      <c r="FE46" s="73"/>
      <c r="FF46" s="32">
        <f>SUM(FF44:FF45)</f>
        <v>2926</v>
      </c>
      <c r="FG46" s="32">
        <f>SUM(FG44:FG45)</f>
        <v>4625</v>
      </c>
      <c r="FH46" s="72"/>
      <c r="FI46" s="73"/>
      <c r="FJ46" s="32"/>
      <c r="FK46" s="32"/>
      <c r="FL46" s="72"/>
      <c r="FM46" s="73"/>
      <c r="FN46" s="32"/>
      <c r="FO46" s="32"/>
      <c r="FP46" s="72"/>
      <c r="FQ46" s="73"/>
      <c r="FR46" s="32">
        <f>SUM(FR44:FR45)</f>
        <v>891.41300000000001</v>
      </c>
      <c r="FS46" s="32">
        <f>SUM(FS44:FS45)</f>
        <v>57.472999999999999</v>
      </c>
      <c r="FT46" s="72"/>
      <c r="FU46" s="73"/>
      <c r="FV46" s="32"/>
      <c r="FW46" s="32"/>
      <c r="FX46" s="72"/>
      <c r="FY46" s="73"/>
      <c r="FZ46" s="32"/>
      <c r="GA46" s="32"/>
      <c r="GB46" s="72"/>
      <c r="GC46" s="73"/>
      <c r="GD46" s="32"/>
      <c r="GE46" s="32"/>
      <c r="GF46" s="72"/>
      <c r="GG46" s="73"/>
      <c r="GH46" s="32"/>
      <c r="GI46" s="32"/>
      <c r="GJ46" s="72"/>
      <c r="GK46" s="73"/>
      <c r="GL46" s="32">
        <f>SUM(GL44:GL45)</f>
        <v>829.00400000000002</v>
      </c>
      <c r="GM46" s="32">
        <f>SUM(GM44:GM45)</f>
        <v>83.706000000000003</v>
      </c>
      <c r="GN46" s="72"/>
      <c r="GO46" s="73"/>
      <c r="GP46" s="32">
        <f>SUM(GP44:GP45)</f>
        <v>38195</v>
      </c>
      <c r="GQ46" s="32">
        <f>SUM(GQ44:GQ45)</f>
        <v>26034</v>
      </c>
      <c r="GR46" s="72"/>
      <c r="GS46" s="73"/>
      <c r="GT46" s="32"/>
      <c r="GU46" s="32"/>
      <c r="GV46" s="72"/>
      <c r="GW46" s="73"/>
      <c r="GX46" s="32">
        <f>SUM(GX44:GX45)</f>
        <v>383.41800000000001</v>
      </c>
      <c r="GY46" s="32">
        <f>SUM(GY44:GY45)</f>
        <v>288.52</v>
      </c>
      <c r="GZ46" s="72"/>
      <c r="HA46" s="73"/>
      <c r="HB46" s="32"/>
      <c r="HC46" s="32"/>
      <c r="HD46" s="72"/>
      <c r="HE46" s="73"/>
      <c r="HF46" s="32"/>
      <c r="HG46" s="32"/>
      <c r="HH46" s="3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74" customFormat="1" ht="12.75" customHeight="1" x14ac:dyDescent="0.2">
      <c r="B47" s="5"/>
      <c r="C47" s="48"/>
      <c r="D47" s="49"/>
      <c r="E47" s="77"/>
      <c r="F47" s="77"/>
      <c r="G47" s="77"/>
      <c r="H47" s="77"/>
      <c r="I47" s="77"/>
      <c r="J47" s="37"/>
      <c r="K47" s="36"/>
      <c r="L47" s="32"/>
      <c r="M47" s="32"/>
      <c r="N47" s="48"/>
      <c r="O47" s="49"/>
      <c r="P47" s="32"/>
      <c r="Q47" s="32"/>
      <c r="R47" s="32"/>
      <c r="S47" s="32"/>
      <c r="T47" s="32"/>
      <c r="U47" s="37"/>
      <c r="V47" s="36"/>
      <c r="W47" s="32"/>
      <c r="X47" s="32"/>
      <c r="Y47" s="32"/>
      <c r="Z47" s="32"/>
      <c r="AA47" s="32"/>
      <c r="AB47" s="37"/>
      <c r="AC47" s="36"/>
      <c r="AD47" s="32"/>
      <c r="AE47" s="32"/>
      <c r="AF47" s="37"/>
      <c r="AG47" s="36"/>
      <c r="AH47" s="32"/>
      <c r="AI47" s="32"/>
      <c r="AJ47" s="37"/>
      <c r="AK47" s="36"/>
      <c r="AL47" s="32"/>
      <c r="AM47" s="32"/>
      <c r="AN47" s="32"/>
      <c r="AO47" s="32"/>
      <c r="AP47" s="37"/>
      <c r="AQ47" s="36"/>
      <c r="AR47" s="32"/>
      <c r="AS47" s="32"/>
      <c r="AT47" s="32"/>
      <c r="AU47" s="32"/>
      <c r="AV47" s="32"/>
      <c r="AW47" s="37"/>
      <c r="AX47" s="36"/>
      <c r="AY47" s="32"/>
      <c r="AZ47" s="32"/>
      <c r="BA47" s="37"/>
      <c r="BB47" s="36"/>
      <c r="BC47" s="36"/>
      <c r="BD47" s="36"/>
      <c r="BE47" s="37"/>
      <c r="BF47" s="36"/>
      <c r="BG47" s="36"/>
      <c r="BH47" s="36"/>
      <c r="BI47" s="36"/>
      <c r="BJ47" s="36"/>
      <c r="BK47" s="36"/>
      <c r="BL47" s="37"/>
      <c r="BM47" s="36"/>
      <c r="BN47" s="36"/>
      <c r="BO47" s="36"/>
      <c r="BP47" s="36"/>
      <c r="BQ47" s="36"/>
      <c r="BR47" s="36"/>
      <c r="BS47" s="37"/>
      <c r="BT47" s="30"/>
      <c r="BU47" s="30"/>
      <c r="BV47" s="30"/>
      <c r="BW47" s="37"/>
      <c r="BX47" s="36"/>
      <c r="BY47" s="32"/>
      <c r="BZ47" s="32"/>
      <c r="CA47" s="31"/>
      <c r="CB47" s="30"/>
      <c r="CC47" s="32"/>
      <c r="CD47" s="32"/>
      <c r="CE47" s="32"/>
      <c r="CF47" s="32"/>
      <c r="CG47" s="37"/>
      <c r="CH47" s="36"/>
      <c r="CI47" s="32"/>
      <c r="CJ47" s="32"/>
      <c r="CK47" s="37"/>
      <c r="CL47" s="36"/>
      <c r="CM47" s="32"/>
      <c r="CN47" s="32"/>
      <c r="CO47" s="32"/>
      <c r="CP47" s="32"/>
      <c r="CQ47" s="32"/>
      <c r="CR47" s="37"/>
      <c r="CS47" s="36"/>
      <c r="CT47" s="32"/>
      <c r="CU47" s="32"/>
      <c r="CV47" s="37"/>
      <c r="CW47" s="36"/>
      <c r="CX47" s="32"/>
      <c r="CY47" s="32"/>
      <c r="CZ47" s="32"/>
      <c r="DA47" s="32"/>
      <c r="DB47" s="31"/>
      <c r="DC47" s="30"/>
      <c r="DD47" s="32"/>
      <c r="DE47" s="32"/>
      <c r="DF47" s="31"/>
      <c r="DG47" s="30"/>
      <c r="DH47" s="32"/>
      <c r="DI47" s="32"/>
      <c r="DJ47" s="32"/>
      <c r="DK47" s="32"/>
      <c r="DL47" s="32"/>
      <c r="DM47" s="37"/>
      <c r="DN47" s="36"/>
      <c r="DO47" s="32"/>
      <c r="DP47" s="32"/>
      <c r="DQ47" s="32"/>
      <c r="DR47" s="32"/>
      <c r="DS47" s="32"/>
      <c r="DT47" s="37"/>
      <c r="DU47" s="36"/>
      <c r="DV47" s="32"/>
      <c r="DW47" s="32"/>
      <c r="DX47" s="37"/>
      <c r="DY47" s="36"/>
      <c r="DZ47" s="32"/>
      <c r="EA47" s="32"/>
      <c r="EB47" s="37"/>
      <c r="EC47" s="36"/>
      <c r="ED47" s="32"/>
      <c r="EE47" s="32"/>
      <c r="EF47" s="37"/>
      <c r="EG47" s="36"/>
      <c r="EH47" s="32"/>
      <c r="EI47" s="32"/>
      <c r="EJ47" s="37"/>
      <c r="EK47" s="36"/>
      <c r="EL47" s="32"/>
      <c r="EM47" s="32"/>
      <c r="EN47" s="37"/>
      <c r="EO47" s="36"/>
      <c r="EP47" s="32"/>
      <c r="EQ47" s="32"/>
      <c r="ER47" s="72"/>
      <c r="ES47" s="73"/>
      <c r="ET47" s="32"/>
      <c r="EU47" s="32"/>
      <c r="EV47" s="72"/>
      <c r="EW47" s="73"/>
      <c r="EX47" s="32"/>
      <c r="EY47" s="32"/>
      <c r="EZ47" s="72"/>
      <c r="FA47" s="73"/>
      <c r="FB47" s="32"/>
      <c r="FC47" s="32"/>
      <c r="FD47" s="72"/>
      <c r="FE47" s="73"/>
      <c r="FF47" s="32"/>
      <c r="FG47" s="32"/>
      <c r="FH47" s="72"/>
      <c r="FI47" s="73"/>
      <c r="FJ47" s="32"/>
      <c r="FK47" s="32"/>
      <c r="FL47" s="72"/>
      <c r="FM47" s="73"/>
      <c r="FN47" s="32"/>
      <c r="FO47" s="32"/>
      <c r="FP47" s="72"/>
      <c r="FQ47" s="73"/>
      <c r="FR47" s="32"/>
      <c r="FS47" s="32"/>
      <c r="FT47" s="72"/>
      <c r="FU47" s="73"/>
      <c r="FV47" s="32"/>
      <c r="FW47" s="32"/>
      <c r="FX47" s="72"/>
      <c r="FY47" s="73"/>
      <c r="FZ47" s="32"/>
      <c r="GA47" s="32"/>
      <c r="GB47" s="72"/>
      <c r="GC47" s="73"/>
      <c r="GD47" s="32"/>
      <c r="GE47" s="32"/>
      <c r="GF47" s="72"/>
      <c r="GG47" s="73"/>
      <c r="GH47" s="32"/>
      <c r="GI47" s="32"/>
      <c r="GJ47" s="72"/>
      <c r="GK47" s="73"/>
      <c r="GL47" s="32"/>
      <c r="GM47" s="32"/>
      <c r="GN47" s="72"/>
      <c r="GO47" s="73"/>
      <c r="GP47" s="32"/>
      <c r="GQ47" s="32"/>
      <c r="GR47" s="72"/>
      <c r="GS47" s="73"/>
      <c r="GT47" s="32"/>
      <c r="GU47" s="32"/>
      <c r="GV47" s="72"/>
      <c r="GW47" s="73"/>
      <c r="GX47" s="32"/>
      <c r="GY47" s="32"/>
      <c r="GZ47" s="72"/>
      <c r="HA47" s="73"/>
      <c r="HB47" s="32"/>
      <c r="HC47" s="32"/>
      <c r="HD47" s="72"/>
      <c r="HE47" s="73"/>
      <c r="HF47" s="32"/>
      <c r="HG47" s="32"/>
      <c r="HH47" s="3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74" customFormat="1" ht="12.75" customHeight="1" x14ac:dyDescent="0.2">
      <c r="B48" s="70" t="s">
        <v>152</v>
      </c>
      <c r="C48" s="48"/>
      <c r="D48" s="49"/>
      <c r="E48" s="34">
        <v>400</v>
      </c>
      <c r="F48" s="34">
        <v>200</v>
      </c>
      <c r="G48" s="34">
        <v>0</v>
      </c>
      <c r="H48" s="34">
        <v>0</v>
      </c>
      <c r="I48" s="34"/>
      <c r="J48" s="37"/>
      <c r="K48" s="36"/>
      <c r="L48" s="36"/>
      <c r="M48" s="36"/>
      <c r="N48" s="48"/>
      <c r="O48" s="49"/>
      <c r="P48" s="36">
        <f>203.577+108.858</f>
        <v>312.435</v>
      </c>
      <c r="Q48" s="36">
        <f>253.199+88.934</f>
        <v>342.13300000000004</v>
      </c>
      <c r="R48" s="36">
        <v>708.23299999999995</v>
      </c>
      <c r="S48" s="36">
        <v>244.38200000000001</v>
      </c>
      <c r="T48" s="36"/>
      <c r="U48" s="37"/>
      <c r="V48" s="36"/>
      <c r="W48" s="35">
        <v>157.01599999999999</v>
      </c>
      <c r="X48" s="35">
        <v>389.46899999999999</v>
      </c>
      <c r="Y48" s="35"/>
      <c r="Z48" s="35"/>
      <c r="AA48" s="35"/>
      <c r="AB48" s="37"/>
      <c r="AC48" s="36"/>
      <c r="AD48" s="32">
        <v>235</v>
      </c>
      <c r="AE48" s="32">
        <v>171.6</v>
      </c>
      <c r="AF48" s="37"/>
      <c r="AG48" s="36"/>
      <c r="AH48" s="35"/>
      <c r="AI48" s="35"/>
      <c r="AJ48" s="37"/>
      <c r="AK48" s="36"/>
      <c r="AL48" s="35"/>
      <c r="AM48" s="35"/>
      <c r="AN48" s="35"/>
      <c r="AO48" s="35"/>
      <c r="AP48" s="37"/>
      <c r="AQ48" s="36"/>
      <c r="AR48" s="35">
        <v>315.959</v>
      </c>
      <c r="AS48" s="35">
        <v>206.90700000000001</v>
      </c>
      <c r="AT48" s="35">
        <v>93.742000000000004</v>
      </c>
      <c r="AU48" s="35">
        <v>50.612000000000002</v>
      </c>
      <c r="AV48" s="35"/>
      <c r="AW48" s="37"/>
      <c r="AX48" s="36"/>
      <c r="AY48" s="35"/>
      <c r="AZ48" s="35"/>
      <c r="BA48" s="37"/>
      <c r="BB48" s="36"/>
      <c r="BC48" s="36"/>
      <c r="BD48" s="36"/>
      <c r="BE48" s="37"/>
      <c r="BF48" s="36"/>
      <c r="BG48" s="36">
        <f>BH51</f>
        <v>11551</v>
      </c>
      <c r="BH48" s="36"/>
      <c r="BI48" s="36"/>
      <c r="BJ48" s="36"/>
      <c r="BK48" s="36"/>
      <c r="BL48" s="37"/>
      <c r="BM48" s="36"/>
      <c r="BN48" s="36">
        <v>750</v>
      </c>
      <c r="BO48" s="36">
        <v>450</v>
      </c>
      <c r="BP48" s="36">
        <v>350</v>
      </c>
      <c r="BQ48" s="36">
        <v>300</v>
      </c>
      <c r="BR48" s="36"/>
      <c r="BS48" s="37"/>
      <c r="BT48" s="36"/>
      <c r="BU48" s="36">
        <v>25</v>
      </c>
      <c r="BV48" s="36">
        <v>0</v>
      </c>
      <c r="BW48" s="37"/>
      <c r="BX48" s="36"/>
      <c r="BY48" s="35"/>
      <c r="BZ48" s="35"/>
      <c r="CA48" s="31"/>
      <c r="CB48" s="30"/>
      <c r="CC48" s="32"/>
      <c r="CD48" s="32"/>
      <c r="CE48" s="32"/>
      <c r="CF48" s="32"/>
      <c r="CG48" s="37"/>
      <c r="CH48" s="36"/>
      <c r="CI48" s="35"/>
      <c r="CJ48" s="35"/>
      <c r="CK48" s="37"/>
      <c r="CL48" s="36"/>
      <c r="CM48" s="35">
        <v>223.80500000000001</v>
      </c>
      <c r="CN48" s="35">
        <v>223.14</v>
      </c>
      <c r="CO48" s="35"/>
      <c r="CP48" s="35"/>
      <c r="CQ48" s="35"/>
      <c r="CR48" s="37"/>
      <c r="CS48" s="36"/>
      <c r="CT48" s="35">
        <f>99.594+0</f>
        <v>99.593999999999994</v>
      </c>
      <c r="CU48" s="35">
        <v>41</v>
      </c>
      <c r="CV48" s="37"/>
      <c r="CW48" s="36"/>
      <c r="CX48" s="35">
        <v>13</v>
      </c>
      <c r="CY48" s="35">
        <v>0</v>
      </c>
      <c r="CZ48" s="35"/>
      <c r="DA48" s="35"/>
      <c r="DB48" s="31"/>
      <c r="DC48" s="30"/>
      <c r="DD48" s="32"/>
      <c r="DE48" s="32"/>
      <c r="DF48" s="31"/>
      <c r="DG48" s="30"/>
      <c r="DH48" s="32">
        <v>675.98199999999997</v>
      </c>
      <c r="DI48" s="32">
        <v>468.25200000000001</v>
      </c>
      <c r="DJ48" s="32"/>
      <c r="DK48" s="32"/>
      <c r="DL48" s="32"/>
      <c r="DM48" s="37"/>
      <c r="DN48" s="36"/>
      <c r="DO48" s="35">
        <f>135+2910</f>
        <v>3045</v>
      </c>
      <c r="DP48" s="35">
        <f>66+2420</f>
        <v>2486</v>
      </c>
      <c r="DQ48" s="35"/>
      <c r="DR48" s="35"/>
      <c r="DS48" s="35"/>
      <c r="DT48" s="37"/>
      <c r="DU48" s="36"/>
      <c r="DV48" s="32">
        <v>75</v>
      </c>
      <c r="DW48" s="32">
        <v>100</v>
      </c>
      <c r="DX48" s="37"/>
      <c r="DY48" s="36"/>
      <c r="DZ48" s="32">
        <f>1481+4243</f>
        <v>5724</v>
      </c>
      <c r="EA48" s="32">
        <f>1610+5332</f>
        <v>6942</v>
      </c>
      <c r="EB48" s="37"/>
      <c r="EC48" s="36"/>
      <c r="ED48" s="35"/>
      <c r="EE48" s="35"/>
      <c r="EF48" s="37"/>
      <c r="EG48" s="36"/>
      <c r="EH48" s="35"/>
      <c r="EI48" s="35"/>
      <c r="EJ48" s="37"/>
      <c r="EK48" s="36"/>
      <c r="EL48" s="35">
        <v>725</v>
      </c>
      <c r="EM48" s="35">
        <v>501</v>
      </c>
      <c r="EN48" s="37"/>
      <c r="EO48" s="36"/>
      <c r="EP48" s="35"/>
      <c r="EQ48" s="35"/>
      <c r="ER48" s="72"/>
      <c r="ES48" s="73"/>
      <c r="ET48" s="35">
        <f>552.263+1293.023</f>
        <v>1845.2860000000001</v>
      </c>
      <c r="EU48" s="35">
        <f>401.205+1577.106</f>
        <v>1978.3109999999999</v>
      </c>
      <c r="EV48" s="72"/>
      <c r="EW48" s="73"/>
      <c r="EX48" s="35"/>
      <c r="EY48" s="35"/>
      <c r="EZ48" s="72"/>
      <c r="FA48" s="73"/>
      <c r="FB48" s="35"/>
      <c r="FC48" s="35"/>
      <c r="FD48" s="72"/>
      <c r="FE48" s="73"/>
      <c r="FF48" s="35">
        <f>781+3844</f>
        <v>4625</v>
      </c>
      <c r="FG48" s="35">
        <f>1091+3353</f>
        <v>4444</v>
      </c>
      <c r="FH48" s="72"/>
      <c r="FI48" s="73"/>
      <c r="FJ48" s="35">
        <v>251.226</v>
      </c>
      <c r="FK48" s="35">
        <v>36.344999999999999</v>
      </c>
      <c r="FL48" s="72"/>
      <c r="FM48" s="73"/>
      <c r="FN48" s="35"/>
      <c r="FO48" s="35"/>
      <c r="FP48" s="72"/>
      <c r="FQ48" s="73"/>
      <c r="FR48" s="35"/>
      <c r="FS48" s="35"/>
      <c r="FT48" s="72"/>
      <c r="FU48" s="73"/>
      <c r="FV48" s="35"/>
      <c r="FW48" s="35"/>
      <c r="FX48" s="72"/>
      <c r="FY48" s="73"/>
      <c r="FZ48" s="35"/>
      <c r="GA48" s="35"/>
      <c r="GB48" s="72"/>
      <c r="GC48" s="73"/>
      <c r="GD48" s="35"/>
      <c r="GE48" s="35"/>
      <c r="GF48" s="72"/>
      <c r="GG48" s="73"/>
      <c r="GH48" s="35">
        <v>1353.761</v>
      </c>
      <c r="GI48" s="35">
        <v>1899.808</v>
      </c>
      <c r="GJ48" s="72"/>
      <c r="GK48" s="73"/>
      <c r="GL48" s="35">
        <f>55.511+28.195</f>
        <v>83.706000000000003</v>
      </c>
      <c r="GM48" s="35">
        <f>0</f>
        <v>0</v>
      </c>
      <c r="GN48" s="72"/>
      <c r="GO48" s="73"/>
      <c r="GP48" s="35"/>
      <c r="GQ48" s="35"/>
      <c r="GR48" s="72"/>
      <c r="GS48" s="73"/>
      <c r="GT48" s="35"/>
      <c r="GU48" s="35"/>
      <c r="GV48" s="72"/>
      <c r="GW48" s="73"/>
      <c r="GX48" s="35">
        <v>288.52</v>
      </c>
      <c r="GY48" s="35">
        <v>238.52</v>
      </c>
      <c r="GZ48" s="72"/>
      <c r="HA48" s="73"/>
      <c r="HB48" s="35"/>
      <c r="HC48" s="35"/>
      <c r="HD48" s="72"/>
      <c r="HE48" s="73"/>
      <c r="HF48" s="35"/>
      <c r="HG48" s="35"/>
      <c r="HH48" s="35"/>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74" customFormat="1" ht="12.75" customHeight="1" x14ac:dyDescent="0.2">
      <c r="B49" s="70" t="s">
        <v>153</v>
      </c>
      <c r="C49" s="48"/>
      <c r="D49" s="49"/>
      <c r="E49" s="34">
        <v>125</v>
      </c>
      <c r="F49" s="34">
        <v>200</v>
      </c>
      <c r="G49" s="34">
        <v>200</v>
      </c>
      <c r="H49" s="34">
        <v>0</v>
      </c>
      <c r="I49" s="34"/>
      <c r="J49" s="37"/>
      <c r="K49" s="36"/>
      <c r="L49" s="36"/>
      <c r="M49" s="36"/>
      <c r="N49" s="48"/>
      <c r="O49" s="49"/>
      <c r="P49" s="36">
        <f>-121.69+101.602</f>
        <v>-20.087999999999994</v>
      </c>
      <c r="Q49" s="36">
        <f>-49.622+19.924</f>
        <v>-29.698</v>
      </c>
      <c r="R49" s="36">
        <v>-366</v>
      </c>
      <c r="S49" s="36">
        <v>463.851</v>
      </c>
      <c r="T49" s="36"/>
      <c r="U49" s="37"/>
      <c r="V49" s="36"/>
      <c r="W49" s="35">
        <f>5.104+31.896</f>
        <v>37</v>
      </c>
      <c r="X49" s="35">
        <f>-239.403+6.93</f>
        <v>-232.47299999999998</v>
      </c>
      <c r="Y49" s="35"/>
      <c r="Z49" s="35"/>
      <c r="AA49" s="35"/>
      <c r="AB49" s="37"/>
      <c r="AC49" s="36"/>
      <c r="AD49" s="32">
        <v>45</v>
      </c>
      <c r="AE49" s="32">
        <v>63.4</v>
      </c>
      <c r="AF49" s="37"/>
      <c r="AG49" s="36"/>
      <c r="AH49" s="35"/>
      <c r="AI49" s="35"/>
      <c r="AJ49" s="37"/>
      <c r="AK49" s="36"/>
      <c r="AL49" s="35"/>
      <c r="AM49" s="35"/>
      <c r="AN49" s="35"/>
      <c r="AO49" s="35"/>
      <c r="AP49" s="37"/>
      <c r="AQ49" s="36"/>
      <c r="AR49" s="83">
        <f>AR16</f>
        <v>179.595</v>
      </c>
      <c r="AS49" s="83">
        <f>AS16</f>
        <v>78.125</v>
      </c>
      <c r="AT49" s="83">
        <f>AT16</f>
        <v>103.916</v>
      </c>
      <c r="AU49" s="83">
        <f>AU16</f>
        <v>47.052999999999997</v>
      </c>
      <c r="AV49" s="83"/>
      <c r="AW49" s="37"/>
      <c r="AX49" s="36"/>
      <c r="AY49" s="35"/>
      <c r="AZ49" s="35"/>
      <c r="BA49" s="37"/>
      <c r="BB49" s="36"/>
      <c r="BC49" s="36"/>
      <c r="BD49" s="36"/>
      <c r="BE49" s="37"/>
      <c r="BF49" s="36"/>
      <c r="BG49" s="36">
        <f>BG16</f>
        <v>-5896</v>
      </c>
      <c r="BH49" s="36">
        <f>BH16</f>
        <v>3688</v>
      </c>
      <c r="BI49" s="36"/>
      <c r="BJ49" s="36"/>
      <c r="BK49" s="36"/>
      <c r="BL49" s="37"/>
      <c r="BM49" s="36"/>
      <c r="BN49" s="36">
        <v>1118.2550000000001</v>
      </c>
      <c r="BO49" s="36">
        <v>300</v>
      </c>
      <c r="BP49" s="36">
        <v>100</v>
      </c>
      <c r="BQ49" s="36">
        <v>50</v>
      </c>
      <c r="BR49" s="36"/>
      <c r="BS49" s="37"/>
      <c r="BT49" s="36"/>
      <c r="BU49" s="36">
        <v>25</v>
      </c>
      <c r="BV49" s="36">
        <v>25</v>
      </c>
      <c r="BW49" s="37"/>
      <c r="BX49" s="36"/>
      <c r="BY49" s="35"/>
      <c r="BZ49" s="35"/>
      <c r="CA49" s="31"/>
      <c r="CB49" s="30"/>
      <c r="CC49" s="32"/>
      <c r="CD49" s="32"/>
      <c r="CE49" s="32"/>
      <c r="CF49" s="32"/>
      <c r="CG49" s="37"/>
      <c r="CH49" s="36"/>
      <c r="CI49" s="35"/>
      <c r="CJ49" s="35"/>
      <c r="CK49" s="37"/>
      <c r="CL49" s="36"/>
      <c r="CM49" s="35">
        <f>CM16</f>
        <v>42.174999999999997</v>
      </c>
      <c r="CN49" s="35">
        <f>CN16</f>
        <v>0.66500000000000004</v>
      </c>
      <c r="CO49" s="35"/>
      <c r="CP49" s="35"/>
      <c r="CQ49" s="35"/>
      <c r="CR49" s="37"/>
      <c r="CS49" s="36"/>
      <c r="CT49" s="35">
        <f>CT16</f>
        <v>151.37100000000001</v>
      </c>
      <c r="CU49" s="35">
        <f>CU16</f>
        <v>58.5944</v>
      </c>
      <c r="CV49" s="37"/>
      <c r="CW49" s="36"/>
      <c r="CX49" s="35">
        <v>87</v>
      </c>
      <c r="CY49" s="35">
        <v>13</v>
      </c>
      <c r="CZ49" s="35"/>
      <c r="DA49" s="35"/>
      <c r="DB49" s="31"/>
      <c r="DC49" s="30"/>
      <c r="DD49" s="32"/>
      <c r="DE49" s="32"/>
      <c r="DF49" s="31"/>
      <c r="DG49" s="30"/>
      <c r="DH49" s="32">
        <v>168.21700000000001</v>
      </c>
      <c r="DI49" s="32">
        <v>207.73</v>
      </c>
      <c r="DJ49" s="32"/>
      <c r="DK49" s="32"/>
      <c r="DL49" s="32"/>
      <c r="DM49" s="37"/>
      <c r="DN49" s="36"/>
      <c r="DO49" s="35">
        <f>412+269</f>
        <v>681</v>
      </c>
      <c r="DP49" s="35">
        <f>69+490</f>
        <v>559</v>
      </c>
      <c r="DQ49" s="35"/>
      <c r="DR49" s="35"/>
      <c r="DS49" s="35"/>
      <c r="DT49" s="37"/>
      <c r="DU49" s="36"/>
      <c r="DV49" s="32">
        <v>230.83600000000001</v>
      </c>
      <c r="DW49" s="32">
        <v>26.55</v>
      </c>
      <c r="DX49" s="37"/>
      <c r="DY49" s="36"/>
      <c r="DZ49" s="32">
        <f>1100-287</f>
        <v>813</v>
      </c>
      <c r="EA49" s="32">
        <f>2042-1089-188</f>
        <v>765</v>
      </c>
      <c r="EB49" s="37"/>
      <c r="EC49" s="36"/>
      <c r="ED49" s="35"/>
      <c r="EE49" s="35"/>
      <c r="EF49" s="37"/>
      <c r="EG49" s="36"/>
      <c r="EH49" s="35"/>
      <c r="EI49" s="35"/>
      <c r="EJ49" s="37"/>
      <c r="EK49" s="36"/>
      <c r="EL49" s="35">
        <v>923</v>
      </c>
      <c r="EM49" s="35">
        <v>224</v>
      </c>
      <c r="EN49" s="37"/>
      <c r="EO49" s="36"/>
      <c r="EP49" s="35">
        <f>EP16</f>
        <v>109.18</v>
      </c>
      <c r="EQ49" s="35">
        <f>EQ16</f>
        <v>0</v>
      </c>
      <c r="ER49" s="72"/>
      <c r="ES49" s="73"/>
      <c r="ET49" s="35">
        <f>161.866</f>
        <v>161.86600000000001</v>
      </c>
      <c r="EU49" s="35">
        <v>81.41</v>
      </c>
      <c r="EV49" s="72"/>
      <c r="EW49" s="73"/>
      <c r="EX49" s="35"/>
      <c r="EY49" s="35"/>
      <c r="EZ49" s="72"/>
      <c r="FA49" s="73"/>
      <c r="FB49" s="35"/>
      <c r="FC49" s="35"/>
      <c r="FD49" s="72"/>
      <c r="FE49" s="73"/>
      <c r="FF49" s="35">
        <f>170-1869</f>
        <v>-1699</v>
      </c>
      <c r="FG49" s="35">
        <f>-309+491</f>
        <v>182</v>
      </c>
      <c r="FH49" s="72"/>
      <c r="FI49" s="73"/>
      <c r="FJ49" s="35">
        <v>182.297</v>
      </c>
      <c r="FK49" s="35">
        <v>247.48599999999999</v>
      </c>
      <c r="FL49" s="72"/>
      <c r="FM49" s="73"/>
      <c r="FN49" s="35"/>
      <c r="FO49" s="35"/>
      <c r="FP49" s="72"/>
      <c r="FQ49" s="73"/>
      <c r="FR49" s="35"/>
      <c r="FS49" s="35"/>
      <c r="FT49" s="72"/>
      <c r="FU49" s="73"/>
      <c r="FV49" s="35"/>
      <c r="FW49" s="35"/>
      <c r="FX49" s="72"/>
      <c r="FY49" s="73"/>
      <c r="FZ49" s="35"/>
      <c r="GA49" s="35"/>
      <c r="GB49" s="72"/>
      <c r="GC49" s="73"/>
      <c r="GD49" s="35"/>
      <c r="GE49" s="35"/>
      <c r="GF49" s="72"/>
      <c r="GG49" s="73"/>
      <c r="GH49" s="35">
        <v>204.55799999999999</v>
      </c>
      <c r="GI49" s="35">
        <v>724.72900000000004</v>
      </c>
      <c r="GJ49" s="72"/>
      <c r="GK49" s="73"/>
      <c r="GL49" s="35">
        <f>565.434+179.864-193.691</f>
        <v>551.60699999999997</v>
      </c>
      <c r="GM49" s="35">
        <f>55.511+28.195-4.554</f>
        <v>79.152000000000001</v>
      </c>
      <c r="GN49" s="72"/>
      <c r="GO49" s="73"/>
      <c r="GP49" s="35"/>
      <c r="GQ49" s="35"/>
      <c r="GR49" s="72"/>
      <c r="GS49" s="73"/>
      <c r="GT49" s="35"/>
      <c r="GU49" s="35"/>
      <c r="GV49" s="72"/>
      <c r="GW49" s="73"/>
      <c r="GX49" s="35">
        <v>94.897999999999996</v>
      </c>
      <c r="GY49" s="35">
        <v>50</v>
      </c>
      <c r="GZ49" s="72"/>
      <c r="HA49" s="73"/>
      <c r="HB49" s="35"/>
      <c r="HC49" s="35"/>
      <c r="HD49" s="72"/>
      <c r="HE49" s="73"/>
      <c r="HF49" s="35"/>
      <c r="HG49" s="35"/>
      <c r="HH49" s="35"/>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8" customFormat="1" ht="12.75" customHeight="1" x14ac:dyDescent="0.2">
      <c r="B50" s="82" t="s">
        <v>154</v>
      </c>
      <c r="C50" s="40"/>
      <c r="D50" s="41"/>
      <c r="E50" s="42">
        <v>0</v>
      </c>
      <c r="F50" s="42">
        <v>0</v>
      </c>
      <c r="G50" s="42">
        <v>0</v>
      </c>
      <c r="H50" s="42">
        <v>0</v>
      </c>
      <c r="I50" s="42"/>
      <c r="J50" s="40"/>
      <c r="K50" s="41"/>
      <c r="L50" s="41"/>
      <c r="M50" s="41"/>
      <c r="N50" s="40"/>
      <c r="O50" s="41"/>
      <c r="P50" s="41">
        <v>0</v>
      </c>
      <c r="Q50" s="41">
        <v>0</v>
      </c>
      <c r="R50" s="41">
        <v>0</v>
      </c>
      <c r="S50" s="41">
        <v>0</v>
      </c>
      <c r="T50" s="41"/>
      <c r="U50" s="40"/>
      <c r="V50" s="41"/>
      <c r="W50" s="43">
        <v>0</v>
      </c>
      <c r="X50" s="43">
        <v>0</v>
      </c>
      <c r="Y50" s="43"/>
      <c r="Z50" s="43"/>
      <c r="AA50" s="43"/>
      <c r="AB50" s="40"/>
      <c r="AC50" s="41"/>
      <c r="AD50" s="43">
        <v>0</v>
      </c>
      <c r="AE50" s="43"/>
      <c r="AF50" s="40"/>
      <c r="AG50" s="41"/>
      <c r="AH50" s="43"/>
      <c r="AI50" s="43"/>
      <c r="AJ50" s="40"/>
      <c r="AK50" s="41"/>
      <c r="AL50" s="43"/>
      <c r="AM50" s="43"/>
      <c r="AN50" s="43"/>
      <c r="AO50" s="43"/>
      <c r="AP50" s="40"/>
      <c r="AQ50" s="41"/>
      <c r="AR50" s="43">
        <f>AR48+AR49-AR51</f>
        <v>-40.883000000000038</v>
      </c>
      <c r="AS50" s="43">
        <f>AS48+AS49-AS51</f>
        <v>-30.926999999999907</v>
      </c>
      <c r="AT50" s="43">
        <f>AT48+AT49-AT51</f>
        <v>-9.2500000000000284</v>
      </c>
      <c r="AU50" s="43">
        <f>AU48+AU49-AU51</f>
        <v>3.9229999999999876</v>
      </c>
      <c r="AV50" s="43"/>
      <c r="AW50" s="40"/>
      <c r="AX50" s="41"/>
      <c r="AY50" s="43"/>
      <c r="AZ50" s="43"/>
      <c r="BA50" s="40"/>
      <c r="BB50" s="41"/>
      <c r="BC50" s="41"/>
      <c r="BD50" s="41"/>
      <c r="BE50" s="40"/>
      <c r="BF50" s="41"/>
      <c r="BG50" s="41">
        <f>BG48+BG49-BG51</f>
        <v>36</v>
      </c>
      <c r="BH50" s="41">
        <f>BH48+BH49-BH51</f>
        <v>-7863</v>
      </c>
      <c r="BI50" s="41"/>
      <c r="BJ50" s="41"/>
      <c r="BK50" s="41"/>
      <c r="BL50" s="40"/>
      <c r="BM50" s="41"/>
      <c r="BN50" s="41">
        <v>0</v>
      </c>
      <c r="BO50" s="41">
        <v>0</v>
      </c>
      <c r="BP50" s="41"/>
      <c r="BQ50" s="41"/>
      <c r="BR50" s="41"/>
      <c r="BS50" s="40"/>
      <c r="BT50" s="41"/>
      <c r="BU50" s="41">
        <v>0</v>
      </c>
      <c r="BV50" s="41">
        <v>0</v>
      </c>
      <c r="BW50" s="40"/>
      <c r="BX50" s="41"/>
      <c r="BY50" s="43"/>
      <c r="BZ50" s="43"/>
      <c r="CA50" s="40"/>
      <c r="CB50" s="41"/>
      <c r="CC50" s="43"/>
      <c r="CD50" s="43"/>
      <c r="CE50" s="43"/>
      <c r="CF50" s="43"/>
      <c r="CG50" s="40"/>
      <c r="CH50" s="41"/>
      <c r="CI50" s="43"/>
      <c r="CJ50" s="43"/>
      <c r="CK50" s="40"/>
      <c r="CL50" s="41"/>
      <c r="CM50" s="43">
        <f>CM48+CM49-CM51</f>
        <v>0</v>
      </c>
      <c r="CN50" s="43">
        <f>CN48+CN49-CN51</f>
        <v>0</v>
      </c>
      <c r="CO50" s="43"/>
      <c r="CP50" s="43"/>
      <c r="CQ50" s="43"/>
      <c r="CR50" s="40"/>
      <c r="CS50" s="41"/>
      <c r="CT50" s="43">
        <f>-CU50</f>
        <v>0</v>
      </c>
      <c r="CU50" s="43">
        <v>0</v>
      </c>
      <c r="CV50" s="40"/>
      <c r="CW50" s="41"/>
      <c r="CX50" s="43">
        <v>0</v>
      </c>
      <c r="CY50" s="43">
        <v>0</v>
      </c>
      <c r="CZ50" s="43"/>
      <c r="DA50" s="43"/>
      <c r="DB50" s="40"/>
      <c r="DC50" s="41"/>
      <c r="DD50" s="43"/>
      <c r="DE50" s="43"/>
      <c r="DF50" s="40"/>
      <c r="DG50" s="41"/>
      <c r="DH50" s="43">
        <v>0</v>
      </c>
      <c r="DI50" s="43"/>
      <c r="DJ50" s="43"/>
      <c r="DK50" s="43"/>
      <c r="DL50" s="43"/>
      <c r="DM50" s="40"/>
      <c r="DN50" s="41"/>
      <c r="DO50" s="43">
        <v>8</v>
      </c>
      <c r="DP50" s="43">
        <v>0</v>
      </c>
      <c r="DQ50" s="43"/>
      <c r="DR50" s="43"/>
      <c r="DS50" s="43"/>
      <c r="DT50" s="40"/>
      <c r="DU50" s="41"/>
      <c r="DV50" s="43">
        <v>-155.83600000000001</v>
      </c>
      <c r="DW50" s="43">
        <v>-51.55</v>
      </c>
      <c r="DX50" s="40"/>
      <c r="DY50" s="41"/>
      <c r="DZ50" s="43">
        <f>-848</f>
        <v>-848</v>
      </c>
      <c r="EA50" s="43">
        <f>-1983</f>
        <v>-1983</v>
      </c>
      <c r="EB50" s="40"/>
      <c r="EC50" s="41"/>
      <c r="ED50" s="43"/>
      <c r="EE50" s="43"/>
      <c r="EF50" s="40"/>
      <c r="EG50" s="41"/>
      <c r="EH50" s="43"/>
      <c r="EI50" s="43"/>
      <c r="EJ50" s="40"/>
      <c r="EK50" s="41"/>
      <c r="EL50" s="43">
        <v>0</v>
      </c>
      <c r="EM50" s="43">
        <v>0</v>
      </c>
      <c r="EN50" s="40"/>
      <c r="EO50" s="41"/>
      <c r="EP50" s="43"/>
      <c r="EQ50" s="43"/>
      <c r="ER50" s="46"/>
      <c r="ES50" s="47"/>
      <c r="ET50" s="43">
        <f>-(ET48-ET51+ET49)</f>
        <v>-827.75600000000009</v>
      </c>
      <c r="EU50" s="43">
        <v>0</v>
      </c>
      <c r="EV50" s="46"/>
      <c r="EW50" s="47"/>
      <c r="EX50" s="43"/>
      <c r="EY50" s="43"/>
      <c r="EZ50" s="46"/>
      <c r="FA50" s="47"/>
      <c r="FB50" s="43"/>
      <c r="FC50" s="43"/>
      <c r="FD50" s="46"/>
      <c r="FE50" s="47"/>
      <c r="FF50" s="43">
        <v>0</v>
      </c>
      <c r="FG50" s="43">
        <v>0</v>
      </c>
      <c r="FH50" s="46"/>
      <c r="FI50" s="47"/>
      <c r="FJ50" s="43">
        <v>-1.821</v>
      </c>
      <c r="FK50" s="43">
        <f>-32.605</f>
        <v>-32.604999999999997</v>
      </c>
      <c r="FL50" s="46"/>
      <c r="FM50" s="47"/>
      <c r="FN50" s="43"/>
      <c r="FO50" s="43"/>
      <c r="FP50" s="46"/>
      <c r="FQ50" s="47"/>
      <c r="FR50" s="43"/>
      <c r="FS50" s="43"/>
      <c r="FT50" s="46"/>
      <c r="FU50" s="47"/>
      <c r="FV50" s="43"/>
      <c r="FW50" s="43"/>
      <c r="FX50" s="46"/>
      <c r="FY50" s="47"/>
      <c r="FZ50" s="43"/>
      <c r="GA50" s="43"/>
      <c r="GB50" s="46"/>
      <c r="GC50" s="47"/>
      <c r="GD50" s="43"/>
      <c r="GE50" s="43"/>
      <c r="GF50" s="46"/>
      <c r="GG50" s="47"/>
      <c r="GH50" s="43">
        <f>GH48-GH49-GH51</f>
        <v>385.65300000000002</v>
      </c>
      <c r="GI50" s="43">
        <f>GI48-GI49-GI51</f>
        <v>-178.68200000000002</v>
      </c>
      <c r="GJ50" s="46"/>
      <c r="GK50" s="47"/>
      <c r="GL50" s="43">
        <v>0</v>
      </c>
      <c r="GM50" s="43">
        <v>0</v>
      </c>
      <c r="GN50" s="46"/>
      <c r="GO50" s="47"/>
      <c r="GP50" s="43"/>
      <c r="GQ50" s="43"/>
      <c r="GR50" s="46"/>
      <c r="GS50" s="47"/>
      <c r="GT50" s="43"/>
      <c r="GU50" s="43"/>
      <c r="GV50" s="46"/>
      <c r="GW50" s="47"/>
      <c r="GX50" s="43">
        <v>0</v>
      </c>
      <c r="GY50" s="43">
        <v>0</v>
      </c>
      <c r="GZ50" s="46"/>
      <c r="HA50" s="47"/>
      <c r="HB50" s="43"/>
      <c r="HC50" s="43"/>
      <c r="HD50" s="46"/>
      <c r="HE50" s="47"/>
      <c r="HF50" s="43"/>
      <c r="HG50" s="43"/>
      <c r="HH50" s="43"/>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74" customFormat="1" ht="12.75" customHeight="1" x14ac:dyDescent="0.2">
      <c r="B51" s="5" t="s">
        <v>155</v>
      </c>
      <c r="C51" s="48"/>
      <c r="D51" s="49"/>
      <c r="E51" s="77">
        <f>SUM(E48:E50)</f>
        <v>525</v>
      </c>
      <c r="F51" s="77">
        <f>SUM(F48:F50)</f>
        <v>400</v>
      </c>
      <c r="G51" s="77">
        <f>SUM(G48:G50)</f>
        <v>200</v>
      </c>
      <c r="H51" s="77">
        <f>SUM(H48:H50)</f>
        <v>0</v>
      </c>
      <c r="I51" s="77"/>
      <c r="J51" s="37"/>
      <c r="K51" s="36"/>
      <c r="L51" s="35"/>
      <c r="M51" s="35"/>
      <c r="N51" s="48"/>
      <c r="O51" s="49"/>
      <c r="P51" s="32">
        <f>SUM(P48:P50)</f>
        <v>292.34699999999998</v>
      </c>
      <c r="Q51" s="32">
        <f>SUM(Q48:Q50)</f>
        <v>312.43500000000006</v>
      </c>
      <c r="R51" s="32">
        <f>SUM(R48:R50)</f>
        <v>342.23299999999995</v>
      </c>
      <c r="S51" s="32">
        <f>SUM(S48:S50)</f>
        <v>708.23299999999995</v>
      </c>
      <c r="T51" s="32"/>
      <c r="U51" s="37"/>
      <c r="V51" s="36"/>
      <c r="W51" s="32">
        <f>SUM(W48:W50)</f>
        <v>194.01599999999999</v>
      </c>
      <c r="X51" s="32">
        <f>SUM(X48:X50)</f>
        <v>156.99600000000001</v>
      </c>
      <c r="Y51" s="32"/>
      <c r="Z51" s="32"/>
      <c r="AA51" s="32"/>
      <c r="AB51" s="37"/>
      <c r="AC51" s="36"/>
      <c r="AD51" s="32">
        <f>SUM(AD48:AD50)</f>
        <v>280</v>
      </c>
      <c r="AE51" s="32">
        <f>SUM(AE48:AE50)</f>
        <v>235</v>
      </c>
      <c r="AF51" s="37"/>
      <c r="AG51" s="36"/>
      <c r="AH51" s="35"/>
      <c r="AI51" s="35"/>
      <c r="AJ51" s="37"/>
      <c r="AK51" s="36"/>
      <c r="AL51" s="32"/>
      <c r="AM51" s="32"/>
      <c r="AN51" s="32"/>
      <c r="AO51" s="32"/>
      <c r="AP51" s="37"/>
      <c r="AQ51" s="36"/>
      <c r="AR51" s="32">
        <f>AR46</f>
        <v>536.43700000000001</v>
      </c>
      <c r="AS51" s="32">
        <f>AS46</f>
        <v>315.95899999999995</v>
      </c>
      <c r="AT51" s="32">
        <f>AT46</f>
        <v>206.90800000000004</v>
      </c>
      <c r="AU51" s="32">
        <f>AU46</f>
        <v>93.742000000000004</v>
      </c>
      <c r="AV51" s="32"/>
      <c r="AW51" s="37"/>
      <c r="AX51" s="36"/>
      <c r="AY51" s="35"/>
      <c r="AZ51" s="35"/>
      <c r="BA51" s="37"/>
      <c r="BB51" s="36"/>
      <c r="BC51" s="30"/>
      <c r="BD51" s="30"/>
      <c r="BE51" s="37"/>
      <c r="BF51" s="36"/>
      <c r="BG51" s="30">
        <f>BG46</f>
        <v>5619</v>
      </c>
      <c r="BH51" s="30">
        <f>BH46</f>
        <v>11551</v>
      </c>
      <c r="BI51" s="30"/>
      <c r="BJ51" s="30"/>
      <c r="BK51" s="30"/>
      <c r="BL51" s="37"/>
      <c r="BM51" s="36"/>
      <c r="BN51" s="30">
        <f>SUM(BN48:BN50)</f>
        <v>1868.2550000000001</v>
      </c>
      <c r="BO51" s="30">
        <f>SUM(BO48:BO50)</f>
        <v>750</v>
      </c>
      <c r="BP51" s="30">
        <f>SUM(BP48:BP50)</f>
        <v>450</v>
      </c>
      <c r="BQ51" s="30">
        <f>SUM(BQ48:BQ50)</f>
        <v>350</v>
      </c>
      <c r="BR51" s="30"/>
      <c r="BS51" s="37"/>
      <c r="BT51" s="30"/>
      <c r="BU51" s="30">
        <f>SUM(BU48:BU50)</f>
        <v>50</v>
      </c>
      <c r="BV51" s="30">
        <f>SUM(BV48:BV50)</f>
        <v>25</v>
      </c>
      <c r="BW51" s="37"/>
      <c r="BX51" s="36"/>
      <c r="BY51" s="32"/>
      <c r="BZ51" s="32"/>
      <c r="CA51" s="31"/>
      <c r="CB51" s="30"/>
      <c r="CC51" s="32">
        <v>0</v>
      </c>
      <c r="CD51" s="32">
        <v>0</v>
      </c>
      <c r="CE51" s="32">
        <v>0</v>
      </c>
      <c r="CF51" s="32"/>
      <c r="CG51" s="37"/>
      <c r="CH51" s="36"/>
      <c r="CI51" s="32"/>
      <c r="CJ51" s="32"/>
      <c r="CK51" s="37"/>
      <c r="CL51" s="36"/>
      <c r="CM51" s="32">
        <f>CM46</f>
        <v>265.98</v>
      </c>
      <c r="CN51" s="32">
        <f>CN46</f>
        <v>223.80500000000001</v>
      </c>
      <c r="CO51" s="32"/>
      <c r="CP51" s="32"/>
      <c r="CQ51" s="32"/>
      <c r="CR51" s="37"/>
      <c r="CS51" s="36"/>
      <c r="CT51" s="32">
        <f>SUM(CT48:CT50)</f>
        <v>250.965</v>
      </c>
      <c r="CU51" s="32">
        <f>SUM(CU48:CU50)</f>
        <v>99.594400000000007</v>
      </c>
      <c r="CV51" s="37"/>
      <c r="CW51" s="36"/>
      <c r="CX51" s="32">
        <f>SUM(CX48:CX50)</f>
        <v>100</v>
      </c>
      <c r="CY51" s="32">
        <f>SUM(CY48:CY50)</f>
        <v>13</v>
      </c>
      <c r="CZ51" s="32"/>
      <c r="DA51" s="32"/>
      <c r="DB51" s="31"/>
      <c r="DC51" s="30"/>
      <c r="DD51" s="32"/>
      <c r="DE51" s="32"/>
      <c r="DF51" s="31"/>
      <c r="DG51" s="30"/>
      <c r="DH51" s="32">
        <f>SUM(DH48:DH50)</f>
        <v>844.19899999999996</v>
      </c>
      <c r="DI51" s="32">
        <f>SUM(DI48:DI50)</f>
        <v>675.98199999999997</v>
      </c>
      <c r="DJ51" s="32"/>
      <c r="DK51" s="32"/>
      <c r="DL51" s="32"/>
      <c r="DM51" s="37"/>
      <c r="DN51" s="36"/>
      <c r="DO51" s="32">
        <f>SUM(DO48:DO50)</f>
        <v>3734</v>
      </c>
      <c r="DP51" s="32">
        <f>SUM(DP48:DP50)</f>
        <v>3045</v>
      </c>
      <c r="DQ51" s="32"/>
      <c r="DR51" s="32"/>
      <c r="DS51" s="32"/>
      <c r="DT51" s="37"/>
      <c r="DU51" s="36"/>
      <c r="DV51" s="32">
        <f>SUM(DV48:DV50)</f>
        <v>150</v>
      </c>
      <c r="DW51" s="32">
        <f>SUM(DW48:DW50)</f>
        <v>75</v>
      </c>
      <c r="DX51" s="37"/>
      <c r="DY51" s="36"/>
      <c r="DZ51" s="32">
        <f>SUM(DZ48:DZ50)</f>
        <v>5689</v>
      </c>
      <c r="EA51" s="32">
        <f>SUM(EA48:EA50)</f>
        <v>5724</v>
      </c>
      <c r="EB51" s="37"/>
      <c r="EC51" s="36"/>
      <c r="ED51" s="32"/>
      <c r="EE51" s="32"/>
      <c r="EF51" s="37"/>
      <c r="EG51" s="36"/>
      <c r="EH51" s="32"/>
      <c r="EI51" s="32"/>
      <c r="EJ51" s="37"/>
      <c r="EK51" s="36"/>
      <c r="EL51" s="32">
        <f>SUM(EL48:EL50)</f>
        <v>1648</v>
      </c>
      <c r="EM51" s="32">
        <f>SUM(EM48:EM50)</f>
        <v>725</v>
      </c>
      <c r="EN51" s="37"/>
      <c r="EO51" s="36"/>
      <c r="EP51" s="32"/>
      <c r="EQ51" s="32"/>
      <c r="ER51" s="72"/>
      <c r="ES51" s="73"/>
      <c r="ET51" s="32">
        <f>ET46</f>
        <v>1179.396</v>
      </c>
      <c r="EU51" s="32">
        <f>EU46</f>
        <v>1845.2849999999999</v>
      </c>
      <c r="EV51" s="72"/>
      <c r="EW51" s="73"/>
      <c r="EX51" s="32"/>
      <c r="EY51" s="32"/>
      <c r="EZ51" s="72"/>
      <c r="FA51" s="73"/>
      <c r="FB51" s="32"/>
      <c r="FC51" s="32"/>
      <c r="FD51" s="72"/>
      <c r="FE51" s="73"/>
      <c r="FF51" s="32">
        <f>FF46</f>
        <v>2926</v>
      </c>
      <c r="FG51" s="32">
        <f>FG46</f>
        <v>4625</v>
      </c>
      <c r="FH51" s="72"/>
      <c r="FI51" s="73"/>
      <c r="FJ51" s="32">
        <f>SUM(FJ48:FJ50)</f>
        <v>431.702</v>
      </c>
      <c r="FK51" s="32">
        <f>SUM(FK48:FK50)</f>
        <v>251.22600000000003</v>
      </c>
      <c r="FL51" s="72"/>
      <c r="FM51" s="73"/>
      <c r="FN51" s="32"/>
      <c r="FO51" s="32"/>
      <c r="FP51" s="72"/>
      <c r="FQ51" s="73"/>
      <c r="FR51" s="32"/>
      <c r="FS51" s="32"/>
      <c r="FT51" s="72"/>
      <c r="FU51" s="73"/>
      <c r="FV51" s="32"/>
      <c r="FW51" s="32"/>
      <c r="FX51" s="72"/>
      <c r="FY51" s="73"/>
      <c r="FZ51" s="32"/>
      <c r="GA51" s="32"/>
      <c r="GB51" s="72"/>
      <c r="GC51" s="73"/>
      <c r="GD51" s="32"/>
      <c r="GE51" s="32"/>
      <c r="GF51" s="72"/>
      <c r="GG51" s="73"/>
      <c r="GH51" s="32">
        <f>763.55</f>
        <v>763.55</v>
      </c>
      <c r="GI51" s="32">
        <v>1353.761</v>
      </c>
      <c r="GJ51" s="72"/>
      <c r="GK51" s="73"/>
      <c r="GL51" s="32">
        <f>SUM(GL48:GL50)</f>
        <v>635.31299999999999</v>
      </c>
      <c r="GM51" s="32">
        <f>SUM(GM48:GM50)</f>
        <v>79.152000000000001</v>
      </c>
      <c r="GN51" s="72"/>
      <c r="GO51" s="73"/>
      <c r="GP51" s="32"/>
      <c r="GQ51" s="32"/>
      <c r="GR51" s="72"/>
      <c r="GS51" s="73"/>
      <c r="GT51" s="32"/>
      <c r="GU51" s="32"/>
      <c r="GV51" s="72"/>
      <c r="GW51" s="73"/>
      <c r="GX51" s="32">
        <f>SUM(GX48:GX50)</f>
        <v>383.41800000000001</v>
      </c>
      <c r="GY51" s="32">
        <f>SUM(GY48:GY50)</f>
        <v>288.52</v>
      </c>
      <c r="GZ51" s="72"/>
      <c r="HA51" s="73"/>
      <c r="HB51" s="32"/>
      <c r="HC51" s="32"/>
      <c r="HD51" s="72"/>
      <c r="HE51" s="73"/>
      <c r="HF51" s="32"/>
      <c r="HG51" s="32"/>
      <c r="HH51" s="3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74" customFormat="1" ht="12.75" customHeight="1" x14ac:dyDescent="0.2">
      <c r="B52" s="5"/>
      <c r="C52" s="48"/>
      <c r="D52" s="49"/>
      <c r="E52" s="32" t="b">
        <f>E49=E16</f>
        <v>1</v>
      </c>
      <c r="F52" s="30"/>
      <c r="G52" s="30"/>
      <c r="H52" s="30"/>
      <c r="I52" s="30"/>
      <c r="J52" s="37"/>
      <c r="K52" s="36"/>
      <c r="L52" s="32" t="b">
        <f>L49=L16</f>
        <v>1</v>
      </c>
      <c r="M52" s="32"/>
      <c r="N52" s="48"/>
      <c r="O52" s="49"/>
      <c r="P52" s="32" t="b">
        <f>P49=P16</f>
        <v>1</v>
      </c>
      <c r="Q52" s="32"/>
      <c r="R52" s="32"/>
      <c r="S52" s="32"/>
      <c r="T52" s="32"/>
      <c r="U52" s="37"/>
      <c r="V52" s="36"/>
      <c r="W52" s="32" t="b">
        <f>W49=W16</f>
        <v>1</v>
      </c>
      <c r="X52" s="32"/>
      <c r="Y52" s="32"/>
      <c r="Z52" s="32"/>
      <c r="AA52" s="32"/>
      <c r="AB52" s="37"/>
      <c r="AC52" s="36"/>
      <c r="AD52" s="32" t="b">
        <f>AD49=AD16</f>
        <v>1</v>
      </c>
      <c r="AE52" s="32"/>
      <c r="AF52" s="37"/>
      <c r="AG52" s="36"/>
      <c r="AH52" s="32" t="b">
        <f>AH49=AH16</f>
        <v>0</v>
      </c>
      <c r="AI52" s="32"/>
      <c r="AJ52" s="37"/>
      <c r="AK52" s="36"/>
      <c r="AL52" s="32" t="b">
        <f>AL49=AL16</f>
        <v>1</v>
      </c>
      <c r="AM52" s="32"/>
      <c r="AN52" s="32"/>
      <c r="AO52" s="32"/>
      <c r="AP52" s="37"/>
      <c r="AQ52" s="36"/>
      <c r="AR52" s="32" t="b">
        <f>AR49=AR16</f>
        <v>1</v>
      </c>
      <c r="AS52" s="32"/>
      <c r="AT52" s="32"/>
      <c r="AU52" s="32"/>
      <c r="AV52" s="32"/>
      <c r="AW52" s="37"/>
      <c r="AX52" s="36"/>
      <c r="AY52" s="32" t="b">
        <f>AY49=AY16</f>
        <v>1</v>
      </c>
      <c r="AZ52" s="32"/>
      <c r="BA52" s="37"/>
      <c r="BB52" s="36"/>
      <c r="BC52" s="32" t="b">
        <f>BC49=BC16</f>
        <v>1</v>
      </c>
      <c r="BD52" s="30"/>
      <c r="BE52" s="37"/>
      <c r="BF52" s="36"/>
      <c r="BG52" s="32" t="b">
        <f>BG49=BG16</f>
        <v>1</v>
      </c>
      <c r="BH52" s="30"/>
      <c r="BI52" s="30"/>
      <c r="BJ52" s="30"/>
      <c r="BK52" s="30"/>
      <c r="BL52" s="37"/>
      <c r="BM52" s="36"/>
      <c r="BN52" s="32" t="b">
        <f>BN49=BN16</f>
        <v>1</v>
      </c>
      <c r="BO52" s="30"/>
      <c r="BP52" s="30"/>
      <c r="BQ52" s="30"/>
      <c r="BR52" s="30"/>
      <c r="BS52" s="37"/>
      <c r="BT52" s="32"/>
      <c r="BU52" s="32" t="b">
        <f>BU49=BU16</f>
        <v>1</v>
      </c>
      <c r="BV52" s="30"/>
      <c r="BW52" s="37"/>
      <c r="BX52" s="36"/>
      <c r="BY52" s="32" t="b">
        <f>BY49=BY16</f>
        <v>1</v>
      </c>
      <c r="BZ52" s="32"/>
      <c r="CA52" s="31"/>
      <c r="CB52" s="30"/>
      <c r="CC52" s="32" t="b">
        <f>CC49=CC16</f>
        <v>1</v>
      </c>
      <c r="CD52" s="32"/>
      <c r="CE52" s="32"/>
      <c r="CF52" s="32"/>
      <c r="CG52" s="37"/>
      <c r="CH52" s="36"/>
      <c r="CI52" s="32" t="b">
        <f>CI49=CI16</f>
        <v>1</v>
      </c>
      <c r="CJ52" s="32"/>
      <c r="CK52" s="37"/>
      <c r="CL52" s="36"/>
      <c r="CM52" s="32" t="b">
        <f>CM49=CM16</f>
        <v>1</v>
      </c>
      <c r="CN52" s="32"/>
      <c r="CO52" s="32"/>
      <c r="CP52" s="32"/>
      <c r="CQ52" s="32"/>
      <c r="CR52" s="37"/>
      <c r="CS52" s="36"/>
      <c r="CT52" s="32" t="b">
        <f>CT49=CT16</f>
        <v>1</v>
      </c>
      <c r="CU52" s="32"/>
      <c r="CV52" s="37"/>
      <c r="CW52" s="36"/>
      <c r="CX52" s="32" t="b">
        <f>CX49=CX16</f>
        <v>1</v>
      </c>
      <c r="CY52" s="32"/>
      <c r="CZ52" s="32"/>
      <c r="DA52" s="32"/>
      <c r="DB52" s="31"/>
      <c r="DC52" s="30"/>
      <c r="DD52" s="32" t="b">
        <f>DD49=DD16</f>
        <v>1</v>
      </c>
      <c r="DE52" s="32"/>
      <c r="DF52" s="31"/>
      <c r="DG52" s="30"/>
      <c r="DH52" s="32" t="b">
        <f>DH49=DH16</f>
        <v>1</v>
      </c>
      <c r="DI52" s="32"/>
      <c r="DJ52" s="32"/>
      <c r="DK52" s="32"/>
      <c r="DL52" s="32"/>
      <c r="DM52" s="37"/>
      <c r="DN52" s="36"/>
      <c r="DO52" s="32" t="b">
        <f>DO49=DO16</f>
        <v>0</v>
      </c>
      <c r="DP52" s="32"/>
      <c r="DQ52" s="32"/>
      <c r="DR52" s="32"/>
      <c r="DS52" s="32"/>
      <c r="DT52" s="37"/>
      <c r="DU52" s="36"/>
      <c r="DV52" s="32" t="b">
        <f>DV49=DV16</f>
        <v>0</v>
      </c>
      <c r="DW52" s="32"/>
      <c r="DX52" s="37"/>
      <c r="DY52" s="36"/>
      <c r="DZ52" s="32" t="b">
        <f>DZ49=DZ16</f>
        <v>1</v>
      </c>
      <c r="EA52" s="32"/>
      <c r="EB52" s="37"/>
      <c r="EC52" s="36"/>
      <c r="ED52" s="32" t="b">
        <f>ED49=ED16</f>
        <v>1</v>
      </c>
      <c r="EE52" s="32"/>
      <c r="EF52" s="37"/>
      <c r="EG52" s="36"/>
      <c r="EH52" s="32" t="b">
        <f>EH49=EH16</f>
        <v>1</v>
      </c>
      <c r="EI52" s="32"/>
      <c r="EJ52" s="37"/>
      <c r="EK52" s="36"/>
      <c r="EL52" s="32" t="b">
        <f>EL49=EL16</f>
        <v>1</v>
      </c>
      <c r="EM52" s="32"/>
      <c r="EN52" s="37"/>
      <c r="EO52" s="36"/>
      <c r="EP52" s="32" t="b">
        <f>EP49=EP16</f>
        <v>1</v>
      </c>
      <c r="EQ52" s="32"/>
      <c r="ER52" s="72"/>
      <c r="ES52" s="73"/>
      <c r="ET52" s="32" t="b">
        <f>ET49=ET16</f>
        <v>1</v>
      </c>
      <c r="EU52" s="32"/>
      <c r="EV52" s="72"/>
      <c r="EW52" s="73"/>
      <c r="EX52" s="32" t="b">
        <f>EX49=EX16</f>
        <v>1</v>
      </c>
      <c r="EY52" s="32"/>
      <c r="EZ52" s="72"/>
      <c r="FA52" s="73"/>
      <c r="FB52" s="32" t="b">
        <f>FB49=FB16</f>
        <v>1</v>
      </c>
      <c r="FC52" s="32"/>
      <c r="FD52" s="72"/>
      <c r="FE52" s="73"/>
      <c r="FF52" s="32" t="b">
        <f>FF49=FF16</f>
        <v>1</v>
      </c>
      <c r="FG52" s="32"/>
      <c r="FH52" s="72"/>
      <c r="FI52" s="73"/>
      <c r="FJ52" s="32" t="b">
        <f>FJ49=FJ16</f>
        <v>1</v>
      </c>
      <c r="FK52" s="32"/>
      <c r="FL52" s="72"/>
      <c r="FM52" s="73"/>
      <c r="FN52" s="32" t="b">
        <f>FN49=FN16</f>
        <v>1</v>
      </c>
      <c r="FO52" s="32"/>
      <c r="FP52" s="72"/>
      <c r="FQ52" s="73"/>
      <c r="FR52" s="32" t="b">
        <f>FR49=FR16</f>
        <v>1</v>
      </c>
      <c r="FS52" s="32"/>
      <c r="FT52" s="72"/>
      <c r="FU52" s="73"/>
      <c r="FV52" s="32" t="b">
        <f>FV49=FV16</f>
        <v>1</v>
      </c>
      <c r="FW52" s="32"/>
      <c r="FX52" s="72"/>
      <c r="FY52" s="73"/>
      <c r="FZ52" s="32" t="b">
        <f>FZ49=FZ16</f>
        <v>0</v>
      </c>
      <c r="GA52" s="32"/>
      <c r="GB52" s="72"/>
      <c r="GC52" s="73"/>
      <c r="GD52" s="32" t="b">
        <f>GD49=GD16</f>
        <v>1</v>
      </c>
      <c r="GE52" s="32"/>
      <c r="GF52" s="72"/>
      <c r="GG52" s="73"/>
      <c r="GH52" s="32" t="b">
        <f>GH49=GH16</f>
        <v>0</v>
      </c>
      <c r="GI52" s="32"/>
      <c r="GJ52" s="72"/>
      <c r="GK52" s="73"/>
      <c r="GL52" s="32" t="b">
        <f>GL49=GL16</f>
        <v>1</v>
      </c>
      <c r="GM52" s="32"/>
      <c r="GN52" s="72"/>
      <c r="GO52" s="73"/>
      <c r="GP52" s="32" t="b">
        <f>GP49=GP16</f>
        <v>1</v>
      </c>
      <c r="GQ52" s="32"/>
      <c r="GR52" s="72"/>
      <c r="GS52" s="73"/>
      <c r="GT52" s="32" t="b">
        <f>GT49=GT16</f>
        <v>1</v>
      </c>
      <c r="GU52" s="32"/>
      <c r="GV52" s="72"/>
      <c r="GW52" s="73"/>
      <c r="GX52" s="32" t="b">
        <f>GX49=GX16</f>
        <v>1</v>
      </c>
      <c r="GY52" s="32"/>
      <c r="GZ52" s="72"/>
      <c r="HA52" s="73"/>
      <c r="HB52" s="32" t="b">
        <f>HB49=HB16</f>
        <v>1</v>
      </c>
      <c r="HC52" s="32"/>
      <c r="HD52" s="72"/>
      <c r="HE52" s="73"/>
      <c r="HF52" s="32" t="b">
        <f>HF49=HF16</f>
        <v>1</v>
      </c>
      <c r="HG52" s="32"/>
      <c r="HH52" s="3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85" customFormat="1" ht="14.25" customHeight="1" x14ac:dyDescent="0.2">
      <c r="A53" s="84" t="s">
        <v>156</v>
      </c>
      <c r="C53" s="86"/>
      <c r="D53" s="87"/>
      <c r="E53" s="88"/>
      <c r="F53" s="88"/>
      <c r="G53" s="88"/>
      <c r="H53" s="88"/>
      <c r="I53" s="88"/>
      <c r="J53" s="89"/>
      <c r="K53" s="88"/>
      <c r="L53" s="90"/>
      <c r="M53" s="90"/>
      <c r="N53" s="86"/>
      <c r="O53" s="87"/>
      <c r="P53" s="90"/>
      <c r="Q53" s="90"/>
      <c r="R53" s="90"/>
      <c r="S53" s="90"/>
      <c r="T53" s="90"/>
      <c r="U53" s="89"/>
      <c r="V53" s="88"/>
      <c r="W53" s="90"/>
      <c r="X53" s="90"/>
      <c r="Y53" s="90"/>
      <c r="Z53" s="90"/>
      <c r="AA53" s="90"/>
      <c r="AB53" s="89"/>
      <c r="AC53" s="88"/>
      <c r="AD53" s="90"/>
      <c r="AE53" s="90"/>
      <c r="AF53" s="89"/>
      <c r="AG53" s="88"/>
      <c r="AH53" s="90"/>
      <c r="AI53" s="90"/>
      <c r="AJ53" s="89"/>
      <c r="AK53" s="88"/>
      <c r="AL53" s="90">
        <f>1.175+310</f>
        <v>311.17500000000001</v>
      </c>
      <c r="AM53" s="90">
        <v>1.5289999999999999</v>
      </c>
      <c r="AN53" s="90"/>
      <c r="AO53" s="90"/>
      <c r="AP53" s="89"/>
      <c r="AQ53" s="88"/>
      <c r="AR53" s="90"/>
      <c r="AS53" s="90"/>
      <c r="AT53" s="90"/>
      <c r="AU53" s="90"/>
      <c r="AV53" s="90"/>
      <c r="AW53" s="89"/>
      <c r="AX53" s="88"/>
      <c r="AY53" s="90"/>
      <c r="AZ53" s="90"/>
      <c r="BA53" s="89"/>
      <c r="BB53" s="88"/>
      <c r="BC53" s="88"/>
      <c r="BD53" s="88"/>
      <c r="BE53" s="89"/>
      <c r="BF53" s="88"/>
      <c r="BG53" s="88"/>
      <c r="BH53" s="88"/>
      <c r="BI53" s="88"/>
      <c r="BJ53" s="88"/>
      <c r="BK53" s="88"/>
      <c r="BL53" s="89"/>
      <c r="BM53" s="88"/>
      <c r="BN53" s="88"/>
      <c r="BO53" s="88"/>
      <c r="BP53" s="88"/>
      <c r="BQ53" s="88"/>
      <c r="BR53" s="88"/>
      <c r="BS53" s="89"/>
      <c r="BT53" s="88"/>
      <c r="BU53" s="88"/>
      <c r="BV53" s="88"/>
      <c r="BW53" s="89"/>
      <c r="BX53" s="88"/>
      <c r="BY53" s="90"/>
      <c r="BZ53" s="90"/>
      <c r="CA53" s="89"/>
      <c r="CB53" s="88"/>
      <c r="CC53" s="90"/>
      <c r="CD53" s="90"/>
      <c r="CE53" s="90"/>
      <c r="CF53" s="90"/>
      <c r="CG53" s="89"/>
      <c r="CH53" s="88"/>
      <c r="CI53" s="90"/>
      <c r="CJ53" s="90"/>
      <c r="CK53" s="89"/>
      <c r="CL53" s="88"/>
      <c r="CM53" s="90"/>
      <c r="CN53" s="90"/>
      <c r="CO53" s="90"/>
      <c r="CP53" s="90"/>
      <c r="CQ53" s="90"/>
      <c r="CR53" s="89"/>
      <c r="CS53" s="88"/>
      <c r="CT53" s="90"/>
      <c r="CU53" s="90"/>
      <c r="CV53" s="89"/>
      <c r="CW53" s="88"/>
      <c r="CX53" s="90"/>
      <c r="CY53" s="90"/>
      <c r="CZ53" s="90"/>
      <c r="DA53" s="90"/>
      <c r="DB53" s="89"/>
      <c r="DC53" s="88"/>
      <c r="DD53" s="90"/>
      <c r="DE53" s="90"/>
      <c r="DF53" s="89"/>
      <c r="DG53" s="88"/>
      <c r="DH53" s="90"/>
      <c r="DI53" s="90"/>
      <c r="DJ53" s="90"/>
      <c r="DK53" s="90"/>
      <c r="DL53" s="90"/>
      <c r="DM53" s="89"/>
      <c r="DN53" s="88"/>
      <c r="DO53" s="90"/>
      <c r="DP53" s="90"/>
      <c r="DQ53" s="90"/>
      <c r="DR53" s="90"/>
      <c r="DS53" s="90"/>
      <c r="DT53" s="89"/>
      <c r="DU53" s="88"/>
      <c r="DV53" s="90"/>
      <c r="DW53" s="90"/>
      <c r="DX53" s="89"/>
      <c r="DY53" s="88"/>
      <c r="DZ53" s="90"/>
      <c r="EA53" s="90"/>
      <c r="EB53" s="89"/>
      <c r="EC53" s="88"/>
      <c r="ED53" s="90"/>
      <c r="EE53" s="90" t="s">
        <v>157</v>
      </c>
      <c r="EF53" s="89"/>
      <c r="EG53" s="88"/>
      <c r="EH53" s="90"/>
      <c r="EI53" s="90"/>
      <c r="EJ53" s="89"/>
      <c r="EK53" s="88"/>
      <c r="EL53" s="90"/>
      <c r="EM53" s="90"/>
      <c r="EN53" s="89"/>
      <c r="EO53" s="88"/>
      <c r="EP53" s="90"/>
      <c r="EQ53" s="90"/>
      <c r="ER53" s="91"/>
      <c r="ES53" s="92"/>
      <c r="ET53" s="90"/>
      <c r="EU53" s="90"/>
      <c r="EV53" s="91"/>
      <c r="EW53" s="92"/>
      <c r="EX53" s="90"/>
      <c r="EY53" s="90"/>
      <c r="EZ53" s="91"/>
      <c r="FA53" s="92"/>
      <c r="FB53" s="90"/>
      <c r="FC53" s="90"/>
      <c r="FD53" s="91"/>
      <c r="FE53" s="92"/>
      <c r="FF53" s="90"/>
      <c r="FG53" s="90"/>
      <c r="FH53" s="91"/>
      <c r="FI53" s="92"/>
      <c r="FJ53" s="90"/>
      <c r="FK53" s="90"/>
      <c r="FL53" s="91"/>
      <c r="FM53" s="92"/>
      <c r="FN53" s="90"/>
      <c r="FO53" s="90"/>
      <c r="FP53" s="91"/>
      <c r="FQ53" s="92"/>
      <c r="FR53" s="90"/>
      <c r="FS53" s="90"/>
      <c r="FT53" s="91"/>
      <c r="FU53" s="92"/>
      <c r="FV53" s="90"/>
      <c r="FW53" s="90"/>
      <c r="FX53" s="91"/>
      <c r="FY53" s="92"/>
      <c r="FZ53" s="90"/>
      <c r="GA53" s="90"/>
      <c r="GB53" s="91"/>
      <c r="GC53" s="92"/>
      <c r="GD53" s="90"/>
      <c r="GE53" s="90"/>
      <c r="GF53" s="91"/>
      <c r="GG53" s="92"/>
      <c r="GH53" s="90"/>
      <c r="GI53" s="90"/>
      <c r="GJ53" s="91"/>
      <c r="GK53" s="92"/>
      <c r="GL53" s="90"/>
      <c r="GM53" s="90"/>
      <c r="GN53" s="91"/>
      <c r="GO53" s="92"/>
      <c r="GP53" s="90"/>
      <c r="GQ53" s="90"/>
      <c r="GR53" s="91"/>
      <c r="GS53" s="92"/>
      <c r="GT53" s="90"/>
      <c r="GU53" s="90"/>
      <c r="GV53" s="91"/>
      <c r="GW53" s="92"/>
      <c r="GX53" s="90"/>
      <c r="GY53" s="90"/>
      <c r="GZ53" s="91"/>
      <c r="HA53" s="92"/>
      <c r="HB53" s="90"/>
      <c r="HC53" s="90"/>
      <c r="HD53" s="91"/>
      <c r="HE53" s="92"/>
      <c r="HF53" s="90"/>
      <c r="HG53" s="90"/>
      <c r="HH53" s="90"/>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93" customFormat="1" ht="14.25" customHeight="1" x14ac:dyDescent="0.2">
      <c r="B54" s="93" t="s">
        <v>158</v>
      </c>
      <c r="C54" s="94"/>
      <c r="D54" s="95"/>
      <c r="E54" s="96"/>
      <c r="F54" s="96"/>
      <c r="G54" s="96"/>
      <c r="H54" s="96"/>
      <c r="I54" s="96"/>
      <c r="J54" s="97"/>
      <c r="K54" s="96"/>
      <c r="L54" s="80">
        <v>31.375</v>
      </c>
      <c r="M54" s="80">
        <v>0</v>
      </c>
      <c r="N54" s="94"/>
      <c r="O54" s="95"/>
      <c r="P54" s="98">
        <v>1471.7809999999999</v>
      </c>
      <c r="Q54" s="98">
        <v>1326.5930000000001</v>
      </c>
      <c r="R54" s="98"/>
      <c r="S54" s="98"/>
      <c r="T54" s="98"/>
      <c r="U54" s="97"/>
      <c r="V54" s="96"/>
      <c r="W54" s="80">
        <f>81.528+24.148</f>
        <v>105.676</v>
      </c>
      <c r="X54" s="80">
        <f>70.781+80.427+8.95+15</f>
        <v>175.15800000000002</v>
      </c>
      <c r="Y54" s="80"/>
      <c r="Z54" s="80"/>
      <c r="AA54" s="80"/>
      <c r="AB54" s="97"/>
      <c r="AC54" s="96"/>
      <c r="AD54" s="80">
        <v>0</v>
      </c>
      <c r="AE54" s="80">
        <f>62.663+33.987</f>
        <v>96.65</v>
      </c>
      <c r="AF54" s="97"/>
      <c r="AG54" s="96"/>
      <c r="AH54" s="80"/>
      <c r="AI54" s="80"/>
      <c r="AJ54" s="97"/>
      <c r="AK54" s="96"/>
      <c r="AL54" s="80">
        <f>16.5+22.5+1.6</f>
        <v>40.6</v>
      </c>
      <c r="AM54" s="80">
        <v>4.6790000000000003</v>
      </c>
      <c r="AN54" s="80"/>
      <c r="AO54" s="80"/>
      <c r="AP54" s="97"/>
      <c r="AQ54" s="96"/>
      <c r="AR54" s="80">
        <v>457.89299999999997</v>
      </c>
      <c r="AS54" s="80">
        <v>309.745</v>
      </c>
      <c r="AT54" s="80">
        <f>220.752+134.328</f>
        <v>355.08000000000004</v>
      </c>
      <c r="AU54" s="80">
        <f>42.865+154.478</f>
        <v>197.34300000000002</v>
      </c>
      <c r="AV54" s="80"/>
      <c r="AW54" s="97"/>
      <c r="AX54" s="96"/>
      <c r="AY54" s="80">
        <f>AY7</f>
        <v>37426</v>
      </c>
      <c r="AZ54" s="80">
        <f>AZ7</f>
        <v>49281</v>
      </c>
      <c r="BA54" s="97"/>
      <c r="BB54" s="96"/>
      <c r="BC54" s="96"/>
      <c r="BD54" s="96"/>
      <c r="BE54" s="97"/>
      <c r="BF54" s="96"/>
      <c r="BG54" s="96">
        <f>3391+1588</f>
        <v>4979</v>
      </c>
      <c r="BH54" s="96">
        <f>9921+1475</f>
        <v>11396</v>
      </c>
      <c r="BI54" s="96"/>
      <c r="BJ54" s="96"/>
      <c r="BK54" s="96"/>
      <c r="BL54" s="97"/>
      <c r="BM54" s="96"/>
      <c r="BN54" s="96"/>
      <c r="BO54" s="96"/>
      <c r="BP54" s="96"/>
      <c r="BQ54" s="96"/>
      <c r="BR54" s="96"/>
      <c r="BS54" s="97"/>
      <c r="BT54" s="99"/>
      <c r="BU54" s="99"/>
      <c r="BV54" s="99"/>
      <c r="BW54" s="97"/>
      <c r="BX54" s="96"/>
      <c r="BY54" s="98"/>
      <c r="BZ54" s="98"/>
      <c r="CA54" s="100"/>
      <c r="CB54" s="99"/>
      <c r="CC54" s="80"/>
      <c r="CD54" s="80"/>
      <c r="CE54" s="80"/>
      <c r="CF54" s="80"/>
      <c r="CG54" s="97"/>
      <c r="CH54" s="96"/>
      <c r="CI54" s="80">
        <v>429.31799999999998</v>
      </c>
      <c r="CJ54" s="80">
        <v>30</v>
      </c>
      <c r="CK54" s="97"/>
      <c r="CL54" s="96"/>
      <c r="CM54" s="80">
        <f>0.809+137.732</f>
        <v>138.541</v>
      </c>
      <c r="CN54" s="80">
        <v>122.71899999999999</v>
      </c>
      <c r="CO54" s="80"/>
      <c r="CP54" s="80"/>
      <c r="CQ54" s="80"/>
      <c r="CR54" s="97"/>
      <c r="CS54" s="96"/>
      <c r="CT54" s="80">
        <v>161</v>
      </c>
      <c r="CU54" s="80"/>
      <c r="CV54" s="97"/>
      <c r="CW54" s="96"/>
      <c r="CX54" s="80"/>
      <c r="CY54" s="80"/>
      <c r="CZ54" s="80"/>
      <c r="DA54" s="80"/>
      <c r="DB54" s="97"/>
      <c r="DC54" s="96"/>
      <c r="DD54" s="80"/>
      <c r="DE54" s="80"/>
      <c r="DF54" s="97"/>
      <c r="DG54" s="96"/>
      <c r="DH54" s="80">
        <v>0</v>
      </c>
      <c r="DI54" s="80">
        <v>0</v>
      </c>
      <c r="DJ54" s="80"/>
      <c r="DK54" s="80"/>
      <c r="DL54" s="80"/>
      <c r="DM54" s="97"/>
      <c r="DN54" s="96"/>
      <c r="DO54" s="98">
        <f>36+60+92+132</f>
        <v>320</v>
      </c>
      <c r="DP54" s="98">
        <f>60+93+36+176+1239+301</f>
        <v>1905</v>
      </c>
      <c r="DQ54" s="98"/>
      <c r="DR54" s="98"/>
      <c r="DS54" s="98"/>
      <c r="DT54" s="97"/>
      <c r="DU54" s="96"/>
      <c r="DV54" s="80"/>
      <c r="DW54" s="80"/>
      <c r="DX54" s="97"/>
      <c r="DY54" s="96"/>
      <c r="DZ54" s="80">
        <f>15018+1560</f>
        <v>16578</v>
      </c>
      <c r="EA54" s="80">
        <f>10551+197</f>
        <v>10748</v>
      </c>
      <c r="EB54" s="97"/>
      <c r="EC54" s="96"/>
      <c r="ED54" s="80"/>
      <c r="EE54" s="80"/>
      <c r="EF54" s="97"/>
      <c r="EG54" s="96"/>
      <c r="EH54" s="80">
        <v>10.340999999999999</v>
      </c>
      <c r="EI54" s="80">
        <v>0</v>
      </c>
      <c r="EJ54" s="97"/>
      <c r="EK54" s="96"/>
      <c r="EL54" s="80">
        <f>352+111</f>
        <v>463</v>
      </c>
      <c r="EM54" s="80">
        <v>217</v>
      </c>
      <c r="EN54" s="97"/>
      <c r="EO54" s="96"/>
      <c r="EP54" s="80"/>
      <c r="EQ54" s="80"/>
      <c r="ER54" s="101"/>
      <c r="ES54" s="102"/>
      <c r="ET54" s="80">
        <f>25.5+44.198</f>
        <v>69.698000000000008</v>
      </c>
      <c r="EU54" s="80">
        <f>3.144</f>
        <v>3.1440000000000001</v>
      </c>
      <c r="EV54" s="101"/>
      <c r="EW54" s="102"/>
      <c r="EX54" s="80">
        <f>10+78.815</f>
        <v>88.814999999999998</v>
      </c>
      <c r="EY54" s="80"/>
      <c r="EZ54" s="101"/>
      <c r="FA54" s="102"/>
      <c r="FB54" s="103"/>
      <c r="FC54" s="103"/>
      <c r="FD54" s="101"/>
      <c r="FE54" s="102"/>
      <c r="FF54" s="103">
        <f>1475+495</f>
        <v>1970</v>
      </c>
      <c r="FG54" s="103">
        <f>1200+420</f>
        <v>1620</v>
      </c>
      <c r="FH54" s="101"/>
      <c r="FI54" s="102"/>
      <c r="FJ54" s="103"/>
      <c r="FK54" s="103"/>
      <c r="FL54" s="101"/>
      <c r="FM54" s="102"/>
      <c r="FN54" s="103">
        <f>FN7</f>
        <v>54146.025999999998</v>
      </c>
      <c r="FO54" s="103">
        <f>FO7</f>
        <v>29054.871999999999</v>
      </c>
      <c r="FP54" s="101"/>
      <c r="FQ54" s="102"/>
      <c r="FR54" s="103"/>
      <c r="FS54" s="103"/>
      <c r="FT54" s="101"/>
      <c r="FU54" s="102"/>
      <c r="FV54" s="103"/>
      <c r="FW54" s="103"/>
      <c r="FX54" s="101"/>
      <c r="FY54" s="102"/>
      <c r="FZ54" s="103"/>
      <c r="GA54" s="103"/>
      <c r="GB54" s="101"/>
      <c r="GC54" s="102"/>
      <c r="GD54" s="103"/>
      <c r="GE54" s="103"/>
      <c r="GF54" s="101"/>
      <c r="GG54" s="102"/>
      <c r="GH54" s="103"/>
      <c r="GI54" s="103"/>
      <c r="GJ54" s="101"/>
      <c r="GK54" s="102"/>
      <c r="GL54" s="103"/>
      <c r="GM54" s="103"/>
      <c r="GN54" s="101"/>
      <c r="GO54" s="102"/>
      <c r="GP54" s="103"/>
      <c r="GQ54" s="103"/>
      <c r="GR54" s="101"/>
      <c r="GS54" s="102"/>
      <c r="GT54" s="103"/>
      <c r="GU54" s="103"/>
      <c r="GV54" s="101"/>
      <c r="GW54" s="102"/>
      <c r="GX54" s="103">
        <v>68.048000000000002</v>
      </c>
      <c r="GY54" s="103">
        <v>138.47300000000001</v>
      </c>
      <c r="GZ54" s="101"/>
      <c r="HA54" s="102"/>
      <c r="HB54" s="103"/>
      <c r="HC54" s="103"/>
      <c r="HD54" s="101"/>
      <c r="HE54" s="102"/>
      <c r="HF54" s="103"/>
      <c r="HG54" s="103"/>
      <c r="HH54" s="103"/>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93" customFormat="1" ht="14.25" customHeight="1" x14ac:dyDescent="0.2">
      <c r="B55" s="93" t="s">
        <v>159</v>
      </c>
      <c r="C55" s="94"/>
      <c r="D55" s="95"/>
      <c r="E55" s="96"/>
      <c r="F55" s="96"/>
      <c r="G55" s="96"/>
      <c r="H55" s="96"/>
      <c r="I55" s="96"/>
      <c r="J55" s="97"/>
      <c r="K55" s="96"/>
      <c r="L55" s="80">
        <v>0</v>
      </c>
      <c r="M55" s="80">
        <v>0</v>
      </c>
      <c r="N55" s="94"/>
      <c r="O55" s="95"/>
      <c r="P55" s="98">
        <v>42.981000000000002</v>
      </c>
      <c r="Q55" s="98">
        <v>58.991999999999997</v>
      </c>
      <c r="R55" s="98"/>
      <c r="S55" s="98"/>
      <c r="T55" s="98"/>
      <c r="U55" s="97"/>
      <c r="V55" s="96"/>
      <c r="W55" s="80"/>
      <c r="X55" s="80"/>
      <c r="Y55" s="80"/>
      <c r="Z55" s="80"/>
      <c r="AA55" s="80"/>
      <c r="AB55" s="97"/>
      <c r="AC55" s="96"/>
      <c r="AD55" s="98"/>
      <c r="AE55" s="80"/>
      <c r="AF55" s="97"/>
      <c r="AG55" s="96"/>
      <c r="AH55" s="80"/>
      <c r="AI55" s="80"/>
      <c r="AJ55" s="97"/>
      <c r="AK55" s="96"/>
      <c r="AL55" s="80">
        <f>157.096+650</f>
        <v>807.096</v>
      </c>
      <c r="AM55" s="80">
        <f>26.161+3.2</f>
        <v>29.361000000000001</v>
      </c>
      <c r="AN55" s="80"/>
      <c r="AO55" s="80"/>
      <c r="AP55" s="97"/>
      <c r="AQ55" s="96"/>
      <c r="AR55" s="80">
        <v>1.393</v>
      </c>
      <c r="AS55" s="80">
        <v>8.8620000000000001</v>
      </c>
      <c r="AT55" s="80">
        <v>22.855</v>
      </c>
      <c r="AU55" s="80">
        <v>0</v>
      </c>
      <c r="AV55" s="80"/>
      <c r="AW55" s="97"/>
      <c r="AX55" s="96"/>
      <c r="AY55" s="80"/>
      <c r="AZ55" s="80"/>
      <c r="BA55" s="97"/>
      <c r="BB55" s="96"/>
      <c r="BC55" s="96"/>
      <c r="BD55" s="96"/>
      <c r="BE55" s="97"/>
      <c r="BF55" s="96"/>
      <c r="BG55" s="96">
        <v>3564</v>
      </c>
      <c r="BH55" s="96">
        <v>1410</v>
      </c>
      <c r="BI55" s="96"/>
      <c r="BJ55" s="96"/>
      <c r="BK55" s="96"/>
      <c r="BL55" s="97"/>
      <c r="BM55" s="96"/>
      <c r="BN55" s="96">
        <v>868.65800000000002</v>
      </c>
      <c r="BO55" s="96">
        <v>348.666</v>
      </c>
      <c r="BP55" s="96">
        <v>481.00099999999998</v>
      </c>
      <c r="BQ55" s="96">
        <v>136.07300000000001</v>
      </c>
      <c r="BR55" s="96"/>
      <c r="BS55" s="97"/>
      <c r="BT55" s="99"/>
      <c r="BU55" s="99">
        <v>117.9</v>
      </c>
      <c r="BV55" s="99">
        <v>27.9</v>
      </c>
      <c r="BW55" s="97"/>
      <c r="BX55" s="96"/>
      <c r="BY55" s="98"/>
      <c r="BZ55" s="98"/>
      <c r="CA55" s="97"/>
      <c r="CB55" s="96"/>
      <c r="CC55" s="80"/>
      <c r="CD55" s="80"/>
      <c r="CE55" s="80"/>
      <c r="CF55" s="80"/>
      <c r="CG55" s="97"/>
      <c r="CH55" s="96"/>
      <c r="CI55" s="80">
        <v>3234.9690000000001</v>
      </c>
      <c r="CJ55" s="103">
        <v>3335.239</v>
      </c>
      <c r="CK55" s="97"/>
      <c r="CL55" s="96"/>
      <c r="CM55" s="80">
        <f>2.825</f>
        <v>2.8250000000000002</v>
      </c>
      <c r="CN55" s="103">
        <v>42.502000000000002</v>
      </c>
      <c r="CO55" s="103"/>
      <c r="CP55" s="103"/>
      <c r="CQ55" s="103"/>
      <c r="CR55" s="97"/>
      <c r="CS55" s="96"/>
      <c r="CT55" s="80">
        <f>552.282+237</f>
        <v>789.28200000000004</v>
      </c>
      <c r="CU55" s="103"/>
      <c r="CV55" s="97"/>
      <c r="CW55" s="96"/>
      <c r="CX55" s="80">
        <f>2.453+2.4</f>
        <v>4.8529999999999998</v>
      </c>
      <c r="CY55" s="103"/>
      <c r="CZ55" s="103"/>
      <c r="DA55" s="103"/>
      <c r="DB55" s="97"/>
      <c r="DC55" s="96"/>
      <c r="DD55" s="98"/>
      <c r="DE55" s="80"/>
      <c r="DF55" s="97"/>
      <c r="DG55" s="96"/>
      <c r="DH55" s="98">
        <v>258.24</v>
      </c>
      <c r="DI55" s="80">
        <f>79.786+175.206</f>
        <v>254.99199999999999</v>
      </c>
      <c r="DJ55" s="80"/>
      <c r="DK55" s="80"/>
      <c r="DL55" s="80"/>
      <c r="DM55" s="97"/>
      <c r="DN55" s="96"/>
      <c r="DO55" s="98">
        <f>799+115</f>
        <v>914</v>
      </c>
      <c r="DP55" s="98">
        <f>798+125+2581</f>
        <v>3504</v>
      </c>
      <c r="DQ55" s="98"/>
      <c r="DR55" s="98"/>
      <c r="DS55" s="98"/>
      <c r="DT55" s="97"/>
      <c r="DU55" s="96"/>
      <c r="DV55" s="98"/>
      <c r="DW55" s="80"/>
      <c r="DX55" s="97"/>
      <c r="DY55" s="96"/>
      <c r="DZ55" s="98"/>
      <c r="EA55" s="80"/>
      <c r="EB55" s="97"/>
      <c r="EC55" s="96"/>
      <c r="ED55" s="80">
        <f>1085.473+393.293+87.4+96.26</f>
        <v>1662.4260000000002</v>
      </c>
      <c r="EE55" s="103">
        <f>800.532+326.72+89.568+102.596</f>
        <v>1319.4159999999999</v>
      </c>
      <c r="EF55" s="97"/>
      <c r="EG55" s="96"/>
      <c r="EH55" s="80"/>
      <c r="EI55" s="103"/>
      <c r="EJ55" s="97"/>
      <c r="EK55" s="96"/>
      <c r="EL55" s="80">
        <f>300+0+43</f>
        <v>343</v>
      </c>
      <c r="EM55" s="103">
        <f>64</f>
        <v>64</v>
      </c>
      <c r="EN55" s="97"/>
      <c r="EO55" s="96"/>
      <c r="EP55" s="80"/>
      <c r="EQ55" s="103"/>
      <c r="ER55" s="101"/>
      <c r="ES55" s="102"/>
      <c r="ET55" s="80">
        <v>63.335999999999999</v>
      </c>
      <c r="EU55" s="103">
        <v>92.531999999999996</v>
      </c>
      <c r="EV55" s="101"/>
      <c r="EW55" s="102"/>
      <c r="EX55" s="80"/>
      <c r="EY55" s="80"/>
      <c r="EZ55" s="101"/>
      <c r="FA55" s="102"/>
      <c r="FB55" s="80"/>
      <c r="FC55" s="80"/>
      <c r="FD55" s="101"/>
      <c r="FE55" s="102"/>
      <c r="FF55" s="80">
        <v>4400</v>
      </c>
      <c r="FG55" s="80">
        <v>5000</v>
      </c>
      <c r="FH55" s="101"/>
      <c r="FI55" s="102"/>
      <c r="FJ55" s="80"/>
      <c r="FK55" s="80"/>
      <c r="FL55" s="101"/>
      <c r="FM55" s="102"/>
      <c r="FN55" s="80"/>
      <c r="FO55" s="80"/>
      <c r="FP55" s="101"/>
      <c r="FQ55" s="102"/>
      <c r="FR55" s="80"/>
      <c r="FS55" s="80"/>
      <c r="FT55" s="101"/>
      <c r="FU55" s="102"/>
      <c r="FV55" s="80"/>
      <c r="FW55" s="80"/>
      <c r="FX55" s="101"/>
      <c r="FY55" s="102"/>
      <c r="FZ55" s="80"/>
      <c r="GA55" s="80"/>
      <c r="GB55" s="101"/>
      <c r="GC55" s="102"/>
      <c r="GD55" s="80">
        <v>180</v>
      </c>
      <c r="GE55" s="80">
        <v>183</v>
      </c>
      <c r="GF55" s="101"/>
      <c r="GG55" s="102"/>
      <c r="GH55" s="80"/>
      <c r="GI55" s="80"/>
      <c r="GJ55" s="101"/>
      <c r="GK55" s="102"/>
      <c r="GL55" s="80"/>
      <c r="GM55" s="80"/>
      <c r="GN55" s="101"/>
      <c r="GO55" s="102"/>
      <c r="GP55" s="80">
        <v>63701</v>
      </c>
      <c r="GQ55" s="80">
        <v>19016</v>
      </c>
      <c r="GR55" s="101"/>
      <c r="GS55" s="102"/>
      <c r="GT55" s="80"/>
      <c r="GU55" s="80"/>
      <c r="GV55" s="101"/>
      <c r="GW55" s="102"/>
      <c r="GX55" s="80">
        <v>5.1459999999999999</v>
      </c>
      <c r="GY55" s="80">
        <v>5.19</v>
      </c>
      <c r="GZ55" s="101"/>
      <c r="HA55" s="102"/>
      <c r="HB55" s="80"/>
      <c r="HC55" s="80"/>
      <c r="HD55" s="101"/>
      <c r="HE55" s="102"/>
      <c r="HF55" s="80"/>
      <c r="HG55" s="80"/>
      <c r="HH55" s="80"/>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74" customFormat="1" x14ac:dyDescent="0.2">
      <c r="B56" s="76" t="s">
        <v>160</v>
      </c>
      <c r="C56" s="48"/>
      <c r="D56" s="49"/>
      <c r="E56" s="73"/>
      <c r="F56" s="73"/>
      <c r="G56" s="73"/>
      <c r="H56" s="73"/>
      <c r="I56" s="73"/>
      <c r="J56" s="37"/>
      <c r="K56" s="36"/>
      <c r="L56" s="80">
        <v>0</v>
      </c>
      <c r="M56" s="80">
        <v>0</v>
      </c>
      <c r="N56" s="48"/>
      <c r="O56" s="49"/>
      <c r="U56" s="37"/>
      <c r="V56" s="36"/>
      <c r="W56" s="80"/>
      <c r="X56" s="80"/>
      <c r="Y56" s="80"/>
      <c r="Z56" s="80"/>
      <c r="AA56" s="80"/>
      <c r="AB56" s="37"/>
      <c r="AC56" s="36"/>
      <c r="AD56" s="35">
        <v>71.350999999999999</v>
      </c>
      <c r="AE56" s="80">
        <v>695.11199999999997</v>
      </c>
      <c r="AF56" s="37"/>
      <c r="AG56" s="36"/>
      <c r="AH56" s="80">
        <f>16.713+30.434</f>
        <v>47.147000000000006</v>
      </c>
      <c r="AI56" s="80">
        <f>16.713+37.07</f>
        <v>53.783000000000001</v>
      </c>
      <c r="AJ56" s="37"/>
      <c r="AK56" s="36"/>
      <c r="AL56" s="80"/>
      <c r="AM56" s="80"/>
      <c r="AN56" s="80"/>
      <c r="AO56" s="80"/>
      <c r="AP56" s="37"/>
      <c r="AQ56" s="36"/>
      <c r="AR56" s="80"/>
      <c r="AS56" s="80"/>
      <c r="AT56" s="80"/>
      <c r="AU56" s="80"/>
      <c r="AV56" s="80"/>
      <c r="AW56" s="37"/>
      <c r="AX56" s="36"/>
      <c r="AY56" s="80">
        <f>AY28</f>
        <v>557052</v>
      </c>
      <c r="AZ56" s="80">
        <f>AZ28</f>
        <v>559919</v>
      </c>
      <c r="BA56" s="37"/>
      <c r="BB56" s="36"/>
      <c r="BC56" s="36"/>
      <c r="BD56" s="36"/>
      <c r="BE56" s="37"/>
      <c r="BF56" s="36"/>
      <c r="BG56" s="36"/>
      <c r="BH56" s="36"/>
      <c r="BI56" s="36"/>
      <c r="BJ56" s="36"/>
      <c r="BK56" s="36"/>
      <c r="BL56" s="37"/>
      <c r="BM56" s="36"/>
      <c r="BN56" s="36">
        <v>0</v>
      </c>
      <c r="BO56" s="36">
        <v>0</v>
      </c>
      <c r="BP56" s="36">
        <v>6018.9430000000002</v>
      </c>
      <c r="BQ56" s="36">
        <v>3079.4250000000002</v>
      </c>
      <c r="BR56" s="36"/>
      <c r="BS56" s="37"/>
      <c r="BT56" s="99"/>
      <c r="BU56" s="99"/>
      <c r="BV56" s="99"/>
      <c r="BW56" s="37"/>
      <c r="BX56" s="36"/>
      <c r="BY56" s="35"/>
      <c r="BZ56" s="35"/>
      <c r="CA56" s="37"/>
      <c r="CB56" s="36"/>
      <c r="CC56" s="80"/>
      <c r="CD56" s="80"/>
      <c r="CE56" s="80"/>
      <c r="CF56" s="80"/>
      <c r="CG56" s="37"/>
      <c r="CH56" s="36"/>
      <c r="CI56" s="80"/>
      <c r="CJ56" s="80"/>
      <c r="CK56" s="37"/>
      <c r="CL56" s="36"/>
      <c r="CM56" s="80"/>
      <c r="CN56" s="80"/>
      <c r="CO56" s="80"/>
      <c r="CP56" s="80"/>
      <c r="CQ56" s="80"/>
      <c r="CR56" s="37"/>
      <c r="CS56" s="36"/>
      <c r="CT56" s="80"/>
      <c r="CU56" s="80"/>
      <c r="CV56" s="37"/>
      <c r="CW56" s="36"/>
      <c r="CX56" s="80"/>
      <c r="CY56" s="80"/>
      <c r="CZ56" s="80"/>
      <c r="DA56" s="80"/>
      <c r="DB56" s="37"/>
      <c r="DC56" s="36"/>
      <c r="DD56" s="35"/>
      <c r="DE56" s="80"/>
      <c r="DF56" s="37"/>
      <c r="DG56" s="36"/>
      <c r="DH56" s="35" t="s">
        <v>161</v>
      </c>
      <c r="DI56" s="80">
        <v>0</v>
      </c>
      <c r="DJ56" s="80"/>
      <c r="DK56" s="80"/>
      <c r="DL56" s="80"/>
      <c r="DM56" s="37"/>
      <c r="DN56" s="36"/>
      <c r="DO56" s="35"/>
      <c r="DP56" s="35"/>
      <c r="DQ56" s="35"/>
      <c r="DR56" s="35"/>
      <c r="DS56" s="35"/>
      <c r="DT56" s="37"/>
      <c r="DU56" s="36"/>
      <c r="DV56" s="35"/>
      <c r="DW56" s="80"/>
      <c r="DX56" s="37"/>
      <c r="DY56" s="36"/>
      <c r="DZ56" s="35">
        <f>-81-3059</f>
        <v>-3140</v>
      </c>
      <c r="EA56" s="80">
        <f>-729-2420</f>
        <v>-3149</v>
      </c>
      <c r="EB56" s="37"/>
      <c r="EC56" s="36"/>
      <c r="ED56" s="80">
        <f>1332.966+469.602</f>
        <v>1802.5679999999998</v>
      </c>
      <c r="EE56" s="80">
        <f>1069.28+345.345</f>
        <v>1414.625</v>
      </c>
      <c r="EF56" s="37"/>
      <c r="EG56" s="36"/>
      <c r="EH56" s="80">
        <v>1275.347</v>
      </c>
      <c r="EI56" s="80">
        <v>463.37400000000002</v>
      </c>
      <c r="EJ56" s="37"/>
      <c r="EK56" s="36"/>
      <c r="EL56" s="80"/>
      <c r="EM56" s="80"/>
      <c r="EN56" s="37"/>
      <c r="EO56" s="36"/>
      <c r="EP56" s="80">
        <v>0</v>
      </c>
      <c r="EQ56" s="80">
        <v>800</v>
      </c>
      <c r="ER56" s="72"/>
      <c r="ES56" s="73"/>
      <c r="ET56" s="80">
        <v>146.20400000000001</v>
      </c>
      <c r="EU56" s="80">
        <v>229.86199999999999</v>
      </c>
      <c r="EV56" s="72"/>
      <c r="EW56" s="73"/>
      <c r="EX56" s="80"/>
      <c r="EY56" s="80"/>
      <c r="EZ56" s="72"/>
      <c r="FA56" s="73"/>
      <c r="FB56" s="80"/>
      <c r="FC56" s="80"/>
      <c r="FD56" s="72"/>
      <c r="FE56" s="73"/>
      <c r="FF56" s="80">
        <v>10000</v>
      </c>
      <c r="FG56" s="80">
        <v>10000</v>
      </c>
      <c r="FH56" s="72"/>
      <c r="FI56" s="73"/>
      <c r="FJ56" s="80"/>
      <c r="FK56" s="80"/>
      <c r="FL56" s="72"/>
      <c r="FM56" s="73"/>
      <c r="FN56" s="80">
        <f>387900.708</f>
        <v>387900.70799999998</v>
      </c>
      <c r="FO56" s="80">
        <v>216263.64</v>
      </c>
      <c r="FP56" s="72"/>
      <c r="FQ56" s="73"/>
      <c r="FR56" s="80"/>
      <c r="FS56" s="80"/>
      <c r="FT56" s="72"/>
      <c r="FU56" s="73"/>
      <c r="FV56" s="80">
        <v>983.41300000000001</v>
      </c>
      <c r="FW56" s="80">
        <f>439.639</f>
        <v>439.63900000000001</v>
      </c>
      <c r="FX56" s="72"/>
      <c r="FY56" s="73"/>
      <c r="FZ56" s="80"/>
      <c r="GA56" s="80"/>
      <c r="GB56" s="72"/>
      <c r="GC56" s="73"/>
      <c r="GD56" s="80"/>
      <c r="GE56" s="80"/>
      <c r="GF56" s="72"/>
      <c r="GG56" s="73"/>
      <c r="GH56" s="80"/>
      <c r="GI56" s="80"/>
      <c r="GJ56" s="72"/>
      <c r="GK56" s="73"/>
      <c r="GL56" s="80">
        <v>5935.0460000000003</v>
      </c>
      <c r="GM56" s="80">
        <v>5310.1419999999998</v>
      </c>
      <c r="GN56" s="72"/>
      <c r="GO56" s="73"/>
      <c r="GP56" s="56">
        <f>GP34</f>
        <v>1498651</v>
      </c>
      <c r="GQ56" s="56">
        <f>GQ34</f>
        <v>1119016</v>
      </c>
      <c r="GR56" s="72"/>
      <c r="GS56" s="73"/>
      <c r="GT56" s="54"/>
      <c r="GU56" s="54"/>
      <c r="GV56" s="72"/>
      <c r="GW56" s="73"/>
      <c r="GX56" s="54"/>
      <c r="GY56" s="54"/>
      <c r="GZ56" s="72"/>
      <c r="HA56" s="73"/>
      <c r="HB56" s="104">
        <v>61.276000000000003</v>
      </c>
      <c r="HC56" s="54"/>
      <c r="HD56" s="72"/>
      <c r="HE56" s="73"/>
      <c r="HF56" s="54"/>
      <c r="HG56" s="54"/>
      <c r="HH56" s="54"/>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74" customFormat="1" ht="12.75" customHeight="1" x14ac:dyDescent="0.2">
      <c r="B57" s="70" t="s">
        <v>162</v>
      </c>
      <c r="C57" s="48"/>
      <c r="D57" s="49"/>
      <c r="E57" s="36"/>
      <c r="F57" s="36"/>
      <c r="G57" s="36"/>
      <c r="H57" s="36"/>
      <c r="I57" s="36"/>
      <c r="J57" s="37"/>
      <c r="K57" s="36"/>
      <c r="L57" s="80">
        <v>0</v>
      </c>
      <c r="M57" s="80">
        <v>0</v>
      </c>
      <c r="N57" s="48"/>
      <c r="O57" s="49"/>
      <c r="P57" s="35">
        <v>949.92200000000003</v>
      </c>
      <c r="Q57" s="35">
        <v>1140.3499999999999</v>
      </c>
      <c r="R57" s="35"/>
      <c r="S57" s="35"/>
      <c r="T57" s="35"/>
      <c r="U57" s="37"/>
      <c r="V57" s="36"/>
      <c r="W57" s="80">
        <v>619.45399999999995</v>
      </c>
      <c r="X57" s="80">
        <v>711.40599999999995</v>
      </c>
      <c r="Y57" s="80"/>
      <c r="Z57" s="80"/>
      <c r="AA57" s="80"/>
      <c r="AB57" s="37"/>
      <c r="AC57" s="36"/>
      <c r="AD57" s="80">
        <v>0</v>
      </c>
      <c r="AE57" s="80">
        <f>105.626+705+853.808</f>
        <v>1664.434</v>
      </c>
      <c r="AF57" s="37"/>
      <c r="AG57" s="36"/>
      <c r="AH57" s="80"/>
      <c r="AI57" s="80"/>
      <c r="AJ57" s="37"/>
      <c r="AK57" s="36"/>
      <c r="AL57" s="80">
        <v>450.26675</v>
      </c>
      <c r="AM57" s="80">
        <v>20</v>
      </c>
      <c r="AN57" s="80"/>
      <c r="AO57" s="80"/>
      <c r="AP57" s="37"/>
      <c r="AQ57" s="36"/>
      <c r="AR57" s="80"/>
      <c r="AS57" s="80"/>
      <c r="AT57" s="80"/>
      <c r="AU57" s="80"/>
      <c r="AV57" s="80"/>
      <c r="AW57" s="37"/>
      <c r="AX57" s="36"/>
      <c r="AY57" s="80"/>
      <c r="AZ57" s="80"/>
      <c r="BA57" s="37"/>
      <c r="BB57" s="36"/>
      <c r="BC57" s="36"/>
      <c r="BD57" s="36"/>
      <c r="BE57" s="37"/>
      <c r="BF57" s="36"/>
      <c r="BG57" s="36">
        <v>7093</v>
      </c>
      <c r="BH57" s="36">
        <v>70251</v>
      </c>
      <c r="BI57" s="36"/>
      <c r="BJ57" s="36"/>
      <c r="BK57" s="36"/>
      <c r="BL57" s="37"/>
      <c r="BM57" s="36"/>
      <c r="BN57" s="36"/>
      <c r="BO57" s="36"/>
      <c r="BP57" s="36"/>
      <c r="BQ57" s="36"/>
      <c r="BR57" s="36"/>
      <c r="BS57" s="37"/>
      <c r="BT57" s="99"/>
      <c r="BU57" s="99"/>
      <c r="BV57" s="99"/>
      <c r="BW57" s="37"/>
      <c r="BX57" s="36"/>
      <c r="BY57" s="35"/>
      <c r="BZ57" s="35"/>
      <c r="CA57" s="100"/>
      <c r="CB57" s="99"/>
      <c r="CC57" s="80">
        <f>1043.826+2544.026+668.23+1577.979+1363.587</f>
        <v>7197.648000000001</v>
      </c>
      <c r="CD57" s="80">
        <v>6.18</v>
      </c>
      <c r="CE57" s="80"/>
      <c r="CF57" s="80"/>
      <c r="CG57" s="37"/>
      <c r="CH57" s="36"/>
      <c r="CI57" s="80">
        <v>8129.192</v>
      </c>
      <c r="CJ57" s="80">
        <v>4366.8810000000003</v>
      </c>
      <c r="CK57" s="37"/>
      <c r="CL57" s="36"/>
      <c r="CM57" s="80"/>
      <c r="CN57" s="80"/>
      <c r="CO57" s="80"/>
      <c r="CP57" s="80"/>
      <c r="CQ57" s="80"/>
      <c r="CR57" s="37"/>
      <c r="CS57" s="36"/>
      <c r="CT57" s="80"/>
      <c r="CU57" s="80"/>
      <c r="CV57" s="37"/>
      <c r="CW57" s="36"/>
      <c r="CX57" s="80"/>
      <c r="CY57" s="80"/>
      <c r="CZ57" s="80"/>
      <c r="DA57" s="80"/>
      <c r="DB57" s="37"/>
      <c r="DC57" s="36"/>
      <c r="DD57" s="80"/>
      <c r="DE57" s="80"/>
      <c r="DF57" s="37"/>
      <c r="DG57" s="36"/>
      <c r="DH57" s="80"/>
      <c r="DI57" s="80"/>
      <c r="DJ57" s="80"/>
      <c r="DK57" s="80"/>
      <c r="DL57" s="80"/>
      <c r="DM57" s="37"/>
      <c r="DN57" s="36"/>
      <c r="DO57" s="35">
        <v>8127</v>
      </c>
      <c r="DP57" s="35">
        <v>7085</v>
      </c>
      <c r="DQ57" s="35"/>
      <c r="DR57" s="35"/>
      <c r="DS57" s="35"/>
      <c r="DT57" s="37"/>
      <c r="DU57" s="36"/>
      <c r="DV57" s="80">
        <f>12.961+80.835+207.028</f>
        <v>300.82399999999996</v>
      </c>
      <c r="DW57" s="80">
        <f>18.146</f>
        <v>18.146000000000001</v>
      </c>
      <c r="DX57" s="37"/>
      <c r="DY57" s="36"/>
      <c r="DZ57" s="80">
        <f>126838</f>
        <v>126838</v>
      </c>
      <c r="EA57" s="80">
        <v>81936</v>
      </c>
      <c r="EB57" s="37"/>
      <c r="EC57" s="36"/>
      <c r="ED57" s="80"/>
      <c r="EE57" s="80"/>
      <c r="EF57" s="37"/>
      <c r="EG57" s="36"/>
      <c r="EH57" s="80"/>
      <c r="EI57" s="80"/>
      <c r="EJ57" s="37"/>
      <c r="EK57" s="36"/>
      <c r="EL57" s="80">
        <f>3969+117</f>
        <v>4086</v>
      </c>
      <c r="EM57" s="80">
        <f>4541+28</f>
        <v>4569</v>
      </c>
      <c r="EN57" s="37"/>
      <c r="EO57" s="36"/>
      <c r="EP57" s="80"/>
      <c r="ER57" s="72"/>
      <c r="ES57" s="73"/>
      <c r="ET57" s="80"/>
      <c r="EV57" s="72"/>
      <c r="EW57" s="73"/>
      <c r="EX57" s="80"/>
      <c r="EY57" s="80"/>
      <c r="EZ57" s="72"/>
      <c r="FA57" s="73"/>
      <c r="FB57" s="80"/>
      <c r="FD57" s="72"/>
      <c r="FE57" s="73"/>
      <c r="FF57" s="80"/>
      <c r="FH57" s="72"/>
      <c r="FI57" s="73"/>
      <c r="FJ57" s="80">
        <v>0</v>
      </c>
      <c r="FK57" s="74">
        <v>96.710999999999999</v>
      </c>
      <c r="FL57" s="72"/>
      <c r="FM57" s="73"/>
      <c r="FN57" s="80">
        <f>FN28</f>
        <v>850887.75300000003</v>
      </c>
      <c r="FO57" s="80">
        <f>FO28</f>
        <v>737206.77099999995</v>
      </c>
      <c r="FP57" s="72"/>
      <c r="FQ57" s="73"/>
      <c r="FR57" s="80"/>
      <c r="FT57" s="72"/>
      <c r="FU57" s="73"/>
      <c r="FV57" s="103">
        <f>805.423+968.356</f>
        <v>1773.779</v>
      </c>
      <c r="FW57" s="103">
        <f>948.824+180.398</f>
        <v>1129.222</v>
      </c>
      <c r="FX57" s="72"/>
      <c r="FY57" s="73"/>
      <c r="FZ57" s="80"/>
      <c r="GB57" s="72"/>
      <c r="GC57" s="73"/>
      <c r="GD57" s="80"/>
      <c r="GF57" s="72"/>
      <c r="GG57" s="73"/>
      <c r="GH57" s="80"/>
      <c r="GJ57" s="72"/>
      <c r="GK57" s="73"/>
      <c r="GL57" s="80"/>
      <c r="GN57" s="72"/>
      <c r="GO57" s="73"/>
      <c r="GP57" s="104"/>
      <c r="GQ57" s="104"/>
      <c r="GR57" s="72"/>
      <c r="GS57" s="73"/>
      <c r="GT57" s="104"/>
      <c r="GU57" s="104"/>
      <c r="GV57" s="72"/>
      <c r="GW57" s="73"/>
      <c r="GX57" s="104">
        <v>258.05799999999999</v>
      </c>
      <c r="GY57" s="104">
        <v>1061.232</v>
      </c>
      <c r="GZ57" s="72"/>
      <c r="HA57" s="73"/>
      <c r="HB57" s="104">
        <v>206851.174</v>
      </c>
      <c r="HC57" s="104">
        <v>171945.52799999999</v>
      </c>
      <c r="HD57" s="72"/>
      <c r="HE57" s="73"/>
      <c r="HF57" s="104"/>
      <c r="HG57" s="104">
        <f>240724.839+5519.908</f>
        <v>246244.747</v>
      </c>
      <c r="HH57" s="104">
        <f>240724.839+3450.875</f>
        <v>244175.71400000001</v>
      </c>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74" customFormat="1" x14ac:dyDescent="0.2">
      <c r="B58" s="76" t="s">
        <v>163</v>
      </c>
      <c r="C58" s="48"/>
      <c r="D58" s="49"/>
      <c r="E58" s="36"/>
      <c r="F58" s="36"/>
      <c r="G58" s="36"/>
      <c r="H58" s="36"/>
      <c r="I58" s="36"/>
      <c r="J58" s="37"/>
      <c r="K58" s="36"/>
      <c r="L58" s="104">
        <v>0</v>
      </c>
      <c r="M58" s="104">
        <v>0</v>
      </c>
      <c r="N58" s="48"/>
      <c r="O58" s="49"/>
      <c r="P58" s="35">
        <f>117.655-40.389</f>
        <v>77.265999999999991</v>
      </c>
      <c r="Q58" s="35">
        <f>170.048-15.386</f>
        <v>154.66200000000001</v>
      </c>
      <c r="R58" s="35"/>
      <c r="S58" s="35"/>
      <c r="T58" s="35"/>
      <c r="U58" s="37"/>
      <c r="V58" s="36"/>
      <c r="W58" s="104"/>
      <c r="X58" s="104"/>
      <c r="Y58" s="104"/>
      <c r="Z58" s="104"/>
      <c r="AA58" s="104"/>
      <c r="AB58" s="37"/>
      <c r="AC58" s="36"/>
      <c r="AD58" s="35"/>
      <c r="AE58" s="104"/>
      <c r="AF58" s="37"/>
      <c r="AG58" s="36"/>
      <c r="AH58" s="104"/>
      <c r="AI58" s="104"/>
      <c r="AJ58" s="37"/>
      <c r="AK58" s="36"/>
      <c r="AL58" s="104"/>
      <c r="AM58" s="104"/>
      <c r="AN58" s="104"/>
      <c r="AO58" s="104"/>
      <c r="AP58" s="37"/>
      <c r="AQ58" s="36"/>
      <c r="AR58" s="104"/>
      <c r="AS58" s="104"/>
      <c r="AT58" s="104"/>
      <c r="AU58" s="104"/>
      <c r="AV58" s="104"/>
      <c r="AW58" s="37"/>
      <c r="AX58" s="36"/>
      <c r="AY58" s="104"/>
      <c r="AZ58" s="104"/>
      <c r="BA58" s="37"/>
      <c r="BB58" s="36"/>
      <c r="BC58" s="36"/>
      <c r="BD58" s="36"/>
      <c r="BE58" s="37"/>
      <c r="BF58" s="36"/>
      <c r="BG58" s="36"/>
      <c r="BH58" s="36"/>
      <c r="BI58" s="36"/>
      <c r="BJ58" s="36"/>
      <c r="BK58" s="36"/>
      <c r="BL58" s="37"/>
      <c r="BM58" s="36"/>
      <c r="BN58" s="36"/>
      <c r="BO58" s="36"/>
      <c r="BP58" s="36"/>
      <c r="BQ58" s="36"/>
      <c r="BR58" s="36"/>
      <c r="BS58" s="37"/>
      <c r="BT58" s="105"/>
      <c r="BU58" s="105"/>
      <c r="BV58" s="105"/>
      <c r="BW58" s="37"/>
      <c r="BX58" s="36"/>
      <c r="BY58" s="35"/>
      <c r="BZ58" s="35"/>
      <c r="CA58" s="37"/>
      <c r="CB58" s="36"/>
      <c r="CC58" s="104"/>
      <c r="CD58" s="104"/>
      <c r="CE58" s="104"/>
      <c r="CF58" s="104"/>
      <c r="CG58" s="37"/>
      <c r="CH58" s="36"/>
      <c r="CI58" s="104"/>
      <c r="CJ58" s="104"/>
      <c r="CK58" s="37"/>
      <c r="CL58" s="36"/>
      <c r="CM58" s="104"/>
      <c r="CN58" s="104"/>
      <c r="CO58" s="104"/>
      <c r="CP58" s="104"/>
      <c r="CQ58" s="104"/>
      <c r="CR58" s="37"/>
      <c r="CS58" s="36"/>
      <c r="CT58" s="104"/>
      <c r="CU58" s="104"/>
      <c r="CV58" s="37"/>
      <c r="CW58" s="36"/>
      <c r="CX58" s="104"/>
      <c r="CY58" s="104"/>
      <c r="CZ58" s="104"/>
      <c r="DA58" s="104"/>
      <c r="DB58" s="37"/>
      <c r="DC58" s="36"/>
      <c r="DD58" s="35"/>
      <c r="DE58" s="104"/>
      <c r="DF58" s="37"/>
      <c r="DG58" s="36"/>
      <c r="DH58" s="35">
        <f>300</f>
        <v>300</v>
      </c>
      <c r="DI58" s="104">
        <v>300</v>
      </c>
      <c r="DJ58" s="104"/>
      <c r="DK58" s="104"/>
      <c r="DL58" s="104"/>
      <c r="DM58" s="37"/>
      <c r="DN58" s="36"/>
      <c r="DO58" s="35"/>
      <c r="DP58" s="35"/>
      <c r="DQ58" s="35"/>
      <c r="DR58" s="35"/>
      <c r="DS58" s="35"/>
      <c r="DT58" s="37"/>
      <c r="DU58" s="36"/>
      <c r="DV58" s="35"/>
      <c r="DW58" s="104"/>
      <c r="DX58" s="37"/>
      <c r="DY58" s="36"/>
      <c r="DZ58" s="35"/>
      <c r="EA58" s="104"/>
      <c r="EB58" s="37"/>
      <c r="EC58" s="36"/>
      <c r="ED58" s="104"/>
      <c r="EE58" s="104"/>
      <c r="EF58" s="37"/>
      <c r="EG58" s="36"/>
      <c r="EH58" s="104"/>
      <c r="EI58" s="104"/>
      <c r="EJ58" s="37"/>
      <c r="EK58" s="36"/>
      <c r="EL58" s="104">
        <f>32</f>
        <v>32</v>
      </c>
      <c r="EM58" s="104">
        <v>209</v>
      </c>
      <c r="EN58" s="37"/>
      <c r="EO58" s="36"/>
      <c r="EP58" s="104"/>
      <c r="EQ58" s="104"/>
      <c r="ER58" s="72"/>
      <c r="ES58" s="73"/>
      <c r="ET58" s="104"/>
      <c r="EU58" s="104"/>
      <c r="EV58" s="72"/>
      <c r="EW58" s="73"/>
      <c r="EX58" s="104"/>
      <c r="EY58" s="104"/>
      <c r="EZ58" s="72"/>
      <c r="FA58" s="73"/>
      <c r="FB58" s="104"/>
      <c r="FC58" s="104"/>
      <c r="FD58" s="72"/>
      <c r="FE58" s="73"/>
      <c r="FF58" s="104"/>
      <c r="FG58" s="104"/>
      <c r="FH58" s="72"/>
      <c r="FI58" s="73"/>
      <c r="FJ58" s="104"/>
      <c r="FK58" s="104"/>
      <c r="FL58" s="72"/>
      <c r="FM58" s="73"/>
      <c r="FN58" s="104"/>
      <c r="FO58" s="104"/>
      <c r="FP58" s="72"/>
      <c r="FQ58" s="73"/>
      <c r="FR58" s="104"/>
      <c r="FS58" s="104"/>
      <c r="FT58" s="72"/>
      <c r="FU58" s="73"/>
      <c r="FV58" s="104"/>
      <c r="FW58" s="104"/>
      <c r="FX58" s="72"/>
      <c r="FY58" s="73"/>
      <c r="FZ58" s="104"/>
      <c r="GA58" s="104"/>
      <c r="GB58" s="72"/>
      <c r="GC58" s="73"/>
      <c r="GD58" s="104"/>
      <c r="GE58" s="104"/>
      <c r="GF58" s="72"/>
      <c r="GG58" s="73"/>
      <c r="GH58" s="104"/>
      <c r="GI58" s="104"/>
      <c r="GJ58" s="72"/>
      <c r="GK58" s="73"/>
      <c r="GL58" s="104"/>
      <c r="GM58" s="104"/>
      <c r="GN58" s="72"/>
      <c r="GO58" s="73"/>
      <c r="GP58" s="104"/>
      <c r="GQ58" s="104"/>
      <c r="GR58" s="72"/>
      <c r="GS58" s="73"/>
      <c r="GT58" s="104"/>
      <c r="GU58" s="104"/>
      <c r="GV58" s="72"/>
      <c r="GW58" s="73"/>
      <c r="GX58" s="104">
        <v>57.884999999999998</v>
      </c>
      <c r="GY58" s="104">
        <v>69.384</v>
      </c>
      <c r="GZ58" s="72"/>
      <c r="HA58" s="73"/>
      <c r="HB58" s="104"/>
      <c r="HC58" s="104"/>
      <c r="HD58" s="72"/>
      <c r="HE58" s="73"/>
      <c r="HF58" s="104"/>
      <c r="HG58" s="104"/>
      <c r="HH58" s="104"/>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74" customFormat="1" ht="12.75" customHeight="1" x14ac:dyDescent="0.2">
      <c r="B59" s="5"/>
      <c r="C59" s="106"/>
      <c r="D59" s="107"/>
      <c r="E59" s="108"/>
      <c r="F59" s="108"/>
      <c r="G59" s="108"/>
      <c r="H59" s="108"/>
      <c r="I59" s="108"/>
      <c r="J59" s="109"/>
      <c r="K59" s="110"/>
      <c r="L59" s="111"/>
      <c r="M59" s="111"/>
      <c r="N59" s="106"/>
      <c r="O59" s="107"/>
      <c r="P59" s="111"/>
      <c r="Q59" s="111"/>
      <c r="R59" s="111"/>
      <c r="S59" s="111"/>
      <c r="T59" s="111"/>
      <c r="U59" s="109"/>
      <c r="V59" s="110"/>
      <c r="W59" s="111"/>
      <c r="X59" s="111"/>
      <c r="Y59" s="111"/>
      <c r="Z59" s="111"/>
      <c r="AA59" s="111"/>
      <c r="AB59" s="109"/>
      <c r="AC59" s="110"/>
      <c r="AD59" s="111"/>
      <c r="AE59" s="111"/>
      <c r="AF59" s="109"/>
      <c r="AG59" s="110"/>
      <c r="AH59" s="111"/>
      <c r="AI59" s="111"/>
      <c r="AJ59" s="109"/>
      <c r="AK59" s="110"/>
      <c r="AL59" s="111"/>
      <c r="AM59" s="111"/>
      <c r="AN59" s="111"/>
      <c r="AO59" s="111"/>
      <c r="AP59" s="109"/>
      <c r="AQ59" s="110"/>
      <c r="AR59" s="111"/>
      <c r="AS59" s="111"/>
      <c r="AT59" s="111"/>
      <c r="AU59" s="111"/>
      <c r="AV59" s="111"/>
      <c r="AW59" s="109"/>
      <c r="AX59" s="110"/>
      <c r="AY59" s="111"/>
      <c r="AZ59" s="111"/>
      <c r="BA59" s="112"/>
      <c r="BB59" s="113"/>
      <c r="BC59" s="110"/>
      <c r="BD59" s="110"/>
      <c r="BE59" s="112"/>
      <c r="BF59" s="113"/>
      <c r="BG59" s="110"/>
      <c r="BH59" s="110"/>
      <c r="BI59" s="110"/>
      <c r="BJ59" s="110"/>
      <c r="BK59" s="110"/>
      <c r="BL59" s="112"/>
      <c r="BM59" s="113"/>
      <c r="BN59" s="110"/>
      <c r="BO59" s="110"/>
      <c r="BP59" s="110"/>
      <c r="BQ59" s="110"/>
      <c r="BR59" s="110"/>
      <c r="BS59" s="109"/>
      <c r="BT59" s="108"/>
      <c r="BU59" s="108"/>
      <c r="BV59" s="108"/>
      <c r="BW59" s="72"/>
      <c r="BX59" s="73"/>
      <c r="BY59" s="111"/>
      <c r="BZ59" s="111"/>
      <c r="CA59" s="114"/>
      <c r="CB59" s="108"/>
      <c r="CC59" s="111"/>
      <c r="CD59" s="111"/>
      <c r="CE59" s="111"/>
      <c r="CF59" s="111"/>
      <c r="CG59" s="109"/>
      <c r="CH59" s="110"/>
      <c r="CI59" s="111"/>
      <c r="CJ59" s="111"/>
      <c r="CK59" s="109"/>
      <c r="CL59" s="110"/>
      <c r="CM59" s="111"/>
      <c r="CN59" s="111"/>
      <c r="CO59" s="111"/>
      <c r="CP59" s="111"/>
      <c r="CQ59" s="111"/>
      <c r="CR59" s="109"/>
      <c r="CS59" s="110"/>
      <c r="CT59" s="111"/>
      <c r="CU59" s="111"/>
      <c r="CV59" s="109"/>
      <c r="CW59" s="110"/>
      <c r="CX59" s="111"/>
      <c r="CY59" s="111"/>
      <c r="CZ59" s="111"/>
      <c r="DA59" s="111"/>
      <c r="DB59" s="114"/>
      <c r="DC59" s="108"/>
      <c r="DD59" s="111"/>
      <c r="DE59" s="111"/>
      <c r="DF59" s="114"/>
      <c r="DG59" s="108"/>
      <c r="DH59" s="111"/>
      <c r="DI59" s="111"/>
      <c r="DJ59" s="111"/>
      <c r="DK59" s="111"/>
      <c r="DL59" s="111"/>
      <c r="DM59" s="72" t="s">
        <v>157</v>
      </c>
      <c r="DN59" s="73"/>
      <c r="DO59" s="111"/>
      <c r="DP59" s="111"/>
      <c r="DQ59" s="111"/>
      <c r="DR59" s="111"/>
      <c r="DS59" s="111"/>
      <c r="DT59" s="109"/>
      <c r="DU59" s="110"/>
      <c r="DV59" s="111"/>
      <c r="DW59" s="111"/>
      <c r="DX59" s="109"/>
      <c r="DY59" s="110"/>
      <c r="DZ59" s="111"/>
      <c r="EA59" s="111"/>
      <c r="EB59" s="72"/>
      <c r="EC59" s="73"/>
      <c r="ED59" s="111"/>
      <c r="EE59" s="111"/>
      <c r="EF59" s="72"/>
      <c r="EG59" s="73"/>
      <c r="EH59" s="111"/>
      <c r="EI59" s="111"/>
      <c r="EJ59" s="72"/>
      <c r="EK59" s="73"/>
      <c r="EL59" s="111"/>
      <c r="EM59" s="111"/>
      <c r="EN59" s="72"/>
      <c r="EO59" s="73"/>
      <c r="EP59" s="111"/>
      <c r="EQ59" s="111"/>
      <c r="ER59" s="72"/>
      <c r="ES59" s="73"/>
      <c r="ET59" s="111"/>
      <c r="EU59" s="111"/>
      <c r="EV59" s="72"/>
      <c r="EW59" s="73"/>
      <c r="EX59" s="111"/>
      <c r="EY59" s="111"/>
      <c r="EZ59" s="72"/>
      <c r="FA59" s="73"/>
      <c r="FB59" s="111"/>
      <c r="FC59" s="111"/>
      <c r="FD59" s="72"/>
      <c r="FE59" s="73"/>
      <c r="FF59" s="111"/>
      <c r="FG59" s="111"/>
      <c r="FH59" s="72"/>
      <c r="FI59" s="73"/>
      <c r="FJ59" s="111"/>
      <c r="FK59" s="111"/>
      <c r="FL59" s="72"/>
      <c r="FM59" s="73"/>
      <c r="FN59" s="111"/>
      <c r="FO59" s="111"/>
      <c r="FP59" s="72"/>
      <c r="FQ59" s="73"/>
      <c r="FR59" s="111"/>
      <c r="FS59" s="111"/>
      <c r="FT59" s="72"/>
      <c r="FU59" s="73"/>
      <c r="FV59" s="111"/>
      <c r="FW59" s="111"/>
      <c r="FX59" s="72"/>
      <c r="FY59" s="73"/>
      <c r="FZ59" s="111"/>
      <c r="GA59" s="111"/>
      <c r="GB59" s="72"/>
      <c r="GC59" s="73"/>
      <c r="GD59" s="111"/>
      <c r="GE59" s="111"/>
      <c r="GF59" s="72"/>
      <c r="GG59" s="73"/>
      <c r="GH59" s="111"/>
      <c r="GI59" s="111"/>
      <c r="GJ59" s="72"/>
      <c r="GK59" s="73"/>
      <c r="GL59" s="111"/>
      <c r="GM59" s="111"/>
      <c r="GN59" s="72"/>
      <c r="GO59" s="73"/>
      <c r="GP59" s="111"/>
      <c r="GQ59" s="111"/>
      <c r="GR59" s="72"/>
      <c r="GS59" s="73"/>
      <c r="GT59" s="111"/>
      <c r="GU59" s="111"/>
      <c r="GV59" s="72"/>
      <c r="GW59" s="73"/>
      <c r="GX59" s="111"/>
      <c r="GY59" s="111"/>
      <c r="GZ59" s="72"/>
      <c r="HA59" s="73"/>
      <c r="HB59" s="111"/>
      <c r="HC59" s="111"/>
      <c r="HD59" s="72"/>
      <c r="HE59" s="73"/>
      <c r="HF59" s="111"/>
      <c r="HG59" s="111"/>
      <c r="HH59" s="111"/>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2.75" customHeight="1" x14ac:dyDescent="0.2">
      <c r="A60" s="115" t="s">
        <v>164</v>
      </c>
      <c r="B60" s="116"/>
      <c r="C60" s="117"/>
      <c r="D60" s="118"/>
      <c r="E60" s="108"/>
      <c r="F60" s="108"/>
      <c r="G60" s="108"/>
      <c r="H60" s="108"/>
      <c r="I60" s="108"/>
      <c r="J60" s="114"/>
      <c r="K60" s="108"/>
      <c r="L60" s="111"/>
      <c r="M60" s="111"/>
      <c r="N60" s="117"/>
      <c r="O60" s="118"/>
      <c r="P60" s="111"/>
      <c r="Q60" s="111"/>
      <c r="R60" s="111"/>
      <c r="S60" s="111"/>
      <c r="T60" s="111"/>
      <c r="U60" s="114"/>
      <c r="V60" s="108"/>
      <c r="W60" s="111"/>
      <c r="X60" s="111"/>
      <c r="Y60" s="111"/>
      <c r="Z60" s="111"/>
      <c r="AA60" s="111"/>
      <c r="AB60" s="114"/>
      <c r="AC60" s="108"/>
      <c r="AD60" s="111"/>
      <c r="AE60" s="111"/>
      <c r="AF60" s="114"/>
      <c r="AG60" s="108"/>
      <c r="AH60" s="111"/>
      <c r="AI60" s="111"/>
      <c r="AJ60" s="114"/>
      <c r="AK60" s="108"/>
      <c r="AL60" s="111"/>
      <c r="AM60" s="111"/>
      <c r="AN60" s="111"/>
      <c r="AO60" s="111"/>
      <c r="AP60" s="114"/>
      <c r="AQ60" s="108"/>
      <c r="AR60" s="111"/>
      <c r="AS60" s="111"/>
      <c r="AT60" s="111"/>
      <c r="AU60" s="111"/>
      <c r="AV60" s="111"/>
      <c r="AW60" s="114"/>
      <c r="AX60" s="108"/>
      <c r="AY60" s="111"/>
      <c r="AZ60" s="111"/>
      <c r="BA60" s="119"/>
      <c r="BB60" s="26"/>
      <c r="BC60" s="108"/>
      <c r="BD60" s="108"/>
      <c r="BE60" s="119"/>
      <c r="BF60" s="26"/>
      <c r="BG60" s="108"/>
      <c r="BH60" s="108"/>
      <c r="BI60" s="108"/>
      <c r="BJ60" s="108"/>
      <c r="BK60" s="108"/>
      <c r="BL60" s="119"/>
      <c r="BM60" s="26"/>
      <c r="BN60" s="108"/>
      <c r="BO60" s="108"/>
      <c r="BP60" s="108"/>
      <c r="BQ60" s="108"/>
      <c r="BR60" s="108"/>
      <c r="BS60" s="114"/>
      <c r="BT60" s="108"/>
      <c r="BU60" s="108"/>
      <c r="BV60" s="108"/>
      <c r="BY60" s="111"/>
      <c r="BZ60" s="111"/>
      <c r="CA60" s="114"/>
      <c r="CB60" s="108"/>
      <c r="CC60" s="111"/>
      <c r="CD60" s="111"/>
      <c r="CE60" s="111"/>
      <c r="CF60" s="111"/>
      <c r="CG60" s="114"/>
      <c r="CH60" s="108"/>
      <c r="CI60" s="111"/>
      <c r="CJ60" s="111"/>
      <c r="CK60" s="114"/>
      <c r="CL60" s="108"/>
      <c r="CM60" s="111"/>
      <c r="CN60" s="111"/>
      <c r="CO60" s="111"/>
      <c r="CP60" s="111"/>
      <c r="CQ60" s="111"/>
      <c r="CR60" s="114"/>
      <c r="CS60" s="108"/>
      <c r="CT60" s="111"/>
      <c r="CU60" s="111"/>
      <c r="CV60" s="114"/>
      <c r="CW60" s="108"/>
      <c r="CX60" s="111"/>
      <c r="CY60" s="111"/>
      <c r="CZ60" s="111"/>
      <c r="DA60" s="111"/>
      <c r="DB60" s="114"/>
      <c r="DC60" s="108"/>
      <c r="DD60" s="111"/>
      <c r="DE60" s="111"/>
      <c r="DF60" s="114"/>
      <c r="DG60" s="108"/>
      <c r="DH60" s="111"/>
      <c r="DI60" s="111"/>
      <c r="DJ60" s="111"/>
      <c r="DK60" s="111"/>
      <c r="DL60" s="111"/>
      <c r="DO60" s="111"/>
      <c r="DP60" s="111"/>
      <c r="DQ60" s="111"/>
      <c r="DR60" s="111"/>
      <c r="DS60" s="111"/>
      <c r="DT60" s="114"/>
      <c r="DU60" s="108"/>
      <c r="DV60" s="111"/>
      <c r="DW60" s="111"/>
      <c r="DX60" s="114"/>
      <c r="DY60" s="108"/>
      <c r="DZ60" s="111"/>
      <c r="EA60" s="111"/>
      <c r="ED60" s="111"/>
      <c r="EE60" s="111"/>
      <c r="EH60" s="111"/>
      <c r="EI60" s="111"/>
      <c r="EL60" s="111"/>
      <c r="EM60" s="111"/>
      <c r="EP60" s="111"/>
      <c r="EQ60" s="111"/>
      <c r="ET60" s="111"/>
      <c r="EU60" s="111"/>
      <c r="EX60" s="111"/>
      <c r="EY60" s="111"/>
      <c r="FB60" s="111"/>
      <c r="FC60" s="111"/>
      <c r="FF60" s="111"/>
      <c r="FG60" s="111"/>
      <c r="FJ60" s="111"/>
      <c r="FK60" s="111"/>
      <c r="FN60" s="111"/>
      <c r="FO60" s="111"/>
      <c r="FR60" s="111"/>
      <c r="FS60" s="111"/>
      <c r="FV60" s="111"/>
      <c r="FW60" s="111"/>
      <c r="FZ60" s="111"/>
      <c r="GA60" s="111"/>
      <c r="GD60" s="111"/>
      <c r="GE60" s="111"/>
      <c r="GH60" s="111"/>
      <c r="GI60" s="111"/>
      <c r="GL60" s="111"/>
      <c r="GM60" s="111"/>
      <c r="GP60" s="111"/>
      <c r="GQ60" s="111"/>
      <c r="GT60" s="111"/>
      <c r="GU60" s="111"/>
      <c r="GX60" s="111"/>
      <c r="GY60" s="111"/>
      <c r="HB60" s="111"/>
      <c r="HC60" s="111"/>
      <c r="HF60" s="111"/>
      <c r="HG60" s="111"/>
      <c r="HH60" s="111"/>
    </row>
    <row r="61" spans="1:256" x14ac:dyDescent="0.2">
      <c r="A61" s="75"/>
      <c r="B61" s="116"/>
      <c r="C61" s="117"/>
      <c r="D61" s="118"/>
      <c r="E61" s="108" t="b">
        <f>E49=(E11-E16)</f>
        <v>0</v>
      </c>
      <c r="F61" s="108"/>
      <c r="G61" s="108"/>
      <c r="H61" s="108"/>
      <c r="I61" s="108"/>
      <c r="J61" s="114"/>
      <c r="K61" s="108"/>
      <c r="L61" s="111"/>
      <c r="M61" s="111"/>
      <c r="N61" s="117"/>
      <c r="O61" s="118"/>
      <c r="P61" s="111"/>
      <c r="Q61" s="111"/>
      <c r="R61" s="111"/>
      <c r="S61" s="111"/>
      <c r="T61" s="111"/>
      <c r="U61" s="114"/>
      <c r="V61" s="108"/>
      <c r="W61" s="111"/>
      <c r="X61" s="111"/>
      <c r="Y61" s="111"/>
      <c r="Z61" s="111"/>
      <c r="AA61" s="111"/>
      <c r="AB61" s="114"/>
      <c r="AC61" s="108"/>
      <c r="AD61" s="111"/>
      <c r="AE61" s="111"/>
      <c r="AF61" s="114"/>
      <c r="AG61" s="108"/>
      <c r="AH61" s="111"/>
      <c r="AI61" s="111"/>
      <c r="AJ61" s="114"/>
      <c r="AK61" s="108"/>
      <c r="AL61" s="111"/>
      <c r="AM61" s="111"/>
      <c r="AN61" s="111"/>
      <c r="AO61" s="111"/>
      <c r="AP61" s="114"/>
      <c r="AQ61" s="108"/>
      <c r="AR61" s="111"/>
      <c r="AS61" s="111"/>
      <c r="AT61" s="111"/>
      <c r="AU61" s="111"/>
      <c r="AV61" s="111"/>
      <c r="AW61" s="114"/>
      <c r="AX61" s="108"/>
      <c r="AY61" s="111"/>
      <c r="AZ61" s="111"/>
      <c r="BA61" s="119"/>
      <c r="BB61" s="26"/>
      <c r="BC61" s="108"/>
      <c r="BD61" s="108"/>
      <c r="BE61" s="119"/>
      <c r="BF61" s="26"/>
      <c r="BG61" s="108"/>
      <c r="BH61" s="108"/>
      <c r="BI61" s="108"/>
      <c r="BJ61" s="108"/>
      <c r="BK61" s="108"/>
      <c r="BL61" s="119"/>
      <c r="BM61" s="26"/>
      <c r="BN61" s="108"/>
      <c r="BO61" s="108"/>
      <c r="BP61" s="108"/>
      <c r="BQ61" s="108"/>
      <c r="BR61" s="108"/>
      <c r="BS61" s="114"/>
      <c r="BT61" s="108"/>
      <c r="BU61" s="108"/>
      <c r="BV61" s="108"/>
      <c r="BY61" s="111"/>
      <c r="BZ61" s="111"/>
      <c r="CA61" s="114"/>
      <c r="CB61" s="108"/>
      <c r="CC61" s="111"/>
      <c r="CD61" s="111"/>
      <c r="CE61" s="111"/>
      <c r="CF61" s="111"/>
      <c r="CG61" s="114"/>
      <c r="CH61" s="108"/>
      <c r="CI61" s="111"/>
      <c r="CJ61" s="111"/>
      <c r="CK61" s="114"/>
      <c r="CL61" s="108"/>
      <c r="CM61" s="111"/>
      <c r="CN61" s="111"/>
      <c r="CO61" s="111"/>
      <c r="CP61" s="111"/>
      <c r="CQ61" s="111"/>
      <c r="CR61" s="114"/>
      <c r="CS61" s="108"/>
      <c r="CT61" s="111"/>
      <c r="CU61" s="111"/>
      <c r="CV61" s="114"/>
      <c r="CW61" s="108"/>
      <c r="CX61" s="111"/>
      <c r="CY61" s="111"/>
      <c r="CZ61" s="111"/>
      <c r="DA61" s="111"/>
      <c r="DB61" s="114"/>
      <c r="DC61" s="108"/>
      <c r="DD61" s="111"/>
      <c r="DE61" s="111"/>
      <c r="DF61" s="114"/>
      <c r="DG61" s="108"/>
      <c r="DH61" s="111"/>
      <c r="DI61" s="111"/>
      <c r="DJ61" s="111"/>
      <c r="DK61" s="111"/>
      <c r="DL61" s="111"/>
      <c r="DO61" s="111"/>
      <c r="DP61" s="111"/>
      <c r="DQ61" s="111"/>
      <c r="DR61" s="111"/>
      <c r="DS61" s="111"/>
      <c r="DT61" s="114"/>
      <c r="DU61" s="108"/>
      <c r="DV61" s="111"/>
      <c r="DW61" s="111"/>
      <c r="DX61" s="114"/>
      <c r="DY61" s="108"/>
      <c r="DZ61" s="111"/>
      <c r="EA61" s="111"/>
      <c r="ED61" s="111"/>
      <c r="EE61" s="111"/>
      <c r="EH61" s="111"/>
      <c r="EI61" s="111"/>
      <c r="EL61" s="111"/>
      <c r="EM61" s="111"/>
      <c r="EP61" s="111"/>
      <c r="EQ61" s="111"/>
      <c r="ET61" s="111"/>
      <c r="EU61" s="111"/>
      <c r="EX61" s="111"/>
      <c r="EY61" s="111"/>
      <c r="FB61" s="111"/>
      <c r="FC61" s="111"/>
      <c r="FF61" s="111"/>
      <c r="FG61" s="111"/>
      <c r="FJ61" s="111"/>
      <c r="FK61" s="111"/>
      <c r="FN61" s="111"/>
      <c r="FO61" s="111"/>
      <c r="FR61" s="111"/>
      <c r="FS61" s="111"/>
      <c r="FV61" s="111"/>
      <c r="FW61" s="111"/>
      <c r="FZ61" s="111"/>
      <c r="GA61" s="111"/>
      <c r="GD61" s="111"/>
      <c r="GE61" s="111"/>
      <c r="GH61" s="111"/>
      <c r="GI61" s="111"/>
      <c r="GL61" s="111"/>
      <c r="GM61" s="111"/>
      <c r="GP61" s="111"/>
      <c r="GQ61" s="111"/>
      <c r="GT61" s="111"/>
      <c r="GU61" s="111"/>
      <c r="GX61" s="111"/>
      <c r="GY61" s="111"/>
      <c r="HB61" s="111"/>
      <c r="HC61" s="111"/>
      <c r="HF61" s="111"/>
      <c r="HG61" s="111"/>
      <c r="HH61" s="111"/>
    </row>
    <row r="62" spans="1:256" ht="5.25" customHeight="1" x14ac:dyDescent="0.2">
      <c r="B62" s="116"/>
      <c r="C62" s="117"/>
      <c r="D62" s="118"/>
      <c r="E62" s="108"/>
      <c r="F62" s="108"/>
      <c r="G62" s="108"/>
      <c r="H62" s="108"/>
      <c r="I62" s="108"/>
      <c r="J62" s="114"/>
      <c r="K62" s="108"/>
      <c r="L62" s="111"/>
      <c r="M62" s="111"/>
      <c r="N62" s="117"/>
      <c r="O62" s="118"/>
      <c r="P62" s="111"/>
      <c r="Q62" s="111"/>
      <c r="R62" s="111"/>
      <c r="S62" s="111"/>
      <c r="T62" s="111"/>
      <c r="U62" s="114"/>
      <c r="V62" s="108"/>
      <c r="W62" s="111"/>
      <c r="X62" s="111"/>
      <c r="Y62" s="111"/>
      <c r="Z62" s="111"/>
      <c r="AA62" s="111"/>
      <c r="AB62" s="114"/>
      <c r="AC62" s="108"/>
      <c r="AD62" s="111"/>
      <c r="AE62" s="111"/>
      <c r="AF62" s="114"/>
      <c r="AG62" s="108"/>
      <c r="AH62" s="111"/>
      <c r="AI62" s="111"/>
      <c r="AJ62" s="114"/>
      <c r="AK62" s="108"/>
      <c r="AL62" s="111"/>
      <c r="AM62" s="111"/>
      <c r="AN62" s="111"/>
      <c r="AO62" s="111"/>
      <c r="AP62" s="114"/>
      <c r="AQ62" s="108"/>
      <c r="AR62" s="111"/>
      <c r="AS62" s="111"/>
      <c r="AT62" s="111"/>
      <c r="AU62" s="111"/>
      <c r="AV62" s="111"/>
      <c r="AW62" s="114"/>
      <c r="AX62" s="108"/>
      <c r="AY62" s="111"/>
      <c r="AZ62" s="111"/>
      <c r="BA62" s="119"/>
      <c r="BB62" s="26"/>
      <c r="BC62" s="108"/>
      <c r="BD62" s="108"/>
      <c r="BE62" s="119"/>
      <c r="BF62" s="26"/>
      <c r="BG62" s="108"/>
      <c r="BH62" s="108"/>
      <c r="BI62" s="108"/>
      <c r="BJ62" s="108"/>
      <c r="BK62" s="108"/>
      <c r="BL62" s="119"/>
      <c r="BM62" s="26"/>
      <c r="BN62" s="108"/>
      <c r="BO62" s="108"/>
      <c r="BP62" s="108"/>
      <c r="BQ62" s="108"/>
      <c r="BR62" s="108"/>
      <c r="BS62" s="114"/>
      <c r="BT62" s="108"/>
      <c r="BU62" s="108"/>
      <c r="BV62" s="108"/>
      <c r="BY62" s="111"/>
      <c r="BZ62" s="111"/>
      <c r="CA62" s="114"/>
      <c r="CB62" s="108"/>
      <c r="CC62" s="111"/>
      <c r="CD62" s="111"/>
      <c r="CE62" s="111"/>
      <c r="CF62" s="111"/>
      <c r="CG62" s="114"/>
      <c r="CH62" s="108"/>
      <c r="CI62" s="111"/>
      <c r="CJ62" s="111"/>
      <c r="CK62" s="114"/>
      <c r="CL62" s="108"/>
      <c r="CM62" s="111"/>
      <c r="CN62" s="111"/>
      <c r="CO62" s="111"/>
      <c r="CP62" s="111"/>
      <c r="CQ62" s="111"/>
      <c r="CR62" s="114"/>
      <c r="CS62" s="108"/>
      <c r="CT62" s="111"/>
      <c r="CU62" s="111"/>
      <c r="CV62" s="114"/>
      <c r="CW62" s="108"/>
      <c r="CX62" s="111"/>
      <c r="CY62" s="111"/>
      <c r="CZ62" s="111"/>
      <c r="DA62" s="111"/>
      <c r="DB62" s="114"/>
      <c r="DC62" s="108"/>
      <c r="DD62" s="111"/>
      <c r="DE62" s="111"/>
      <c r="DF62" s="114"/>
      <c r="DG62" s="108"/>
      <c r="DH62" s="111"/>
      <c r="DI62" s="111"/>
      <c r="DJ62" s="111"/>
      <c r="DK62" s="111"/>
      <c r="DL62" s="111"/>
      <c r="DO62" s="111"/>
      <c r="DP62" s="111"/>
      <c r="DQ62" s="111"/>
      <c r="DR62" s="111"/>
      <c r="DS62" s="111"/>
      <c r="DT62" s="114"/>
      <c r="DU62" s="108"/>
      <c r="DV62" s="111"/>
      <c r="DW62" s="111"/>
      <c r="DX62" s="114"/>
      <c r="DY62" s="108"/>
      <c r="DZ62" s="111"/>
      <c r="EA62" s="111"/>
      <c r="ED62" s="111"/>
      <c r="EE62" s="111"/>
      <c r="EH62" s="111"/>
      <c r="EI62" s="111"/>
      <c r="EL62" s="111"/>
      <c r="EM62" s="111"/>
      <c r="EP62" s="111"/>
      <c r="EQ62" s="111"/>
      <c r="ET62" s="111"/>
      <c r="EU62" s="111"/>
      <c r="EX62" s="111"/>
      <c r="EY62" s="111"/>
      <c r="FB62" s="111"/>
      <c r="FC62" s="111"/>
      <c r="FF62" s="111"/>
      <c r="FG62" s="111"/>
      <c r="FJ62" s="111"/>
      <c r="FK62" s="111"/>
      <c r="FN62" s="111"/>
      <c r="FO62" s="111"/>
      <c r="FR62" s="111"/>
      <c r="FS62" s="111"/>
      <c r="FV62" s="111"/>
      <c r="FW62" s="111"/>
      <c r="FZ62" s="111"/>
      <c r="GA62" s="111"/>
      <c r="GD62" s="111"/>
      <c r="GE62" s="111"/>
      <c r="GH62" s="111"/>
      <c r="GI62" s="111"/>
      <c r="GL62" s="111"/>
      <c r="GM62" s="111"/>
      <c r="GP62" s="111"/>
      <c r="GQ62" s="111"/>
      <c r="GT62" s="111"/>
      <c r="GU62" s="111"/>
      <c r="GX62" s="111"/>
      <c r="GY62" s="111"/>
      <c r="HB62" s="111"/>
      <c r="HC62" s="111"/>
      <c r="HF62" s="111"/>
      <c r="HG62" s="111"/>
      <c r="HH62" s="111"/>
    </row>
    <row r="63" spans="1:256" x14ac:dyDescent="0.2">
      <c r="B63" s="13" t="s">
        <v>165</v>
      </c>
      <c r="C63" s="117"/>
      <c r="D63" s="118"/>
      <c r="E63" s="108"/>
      <c r="F63" s="108"/>
      <c r="G63" s="108"/>
      <c r="H63" s="108"/>
      <c r="I63" s="108"/>
      <c r="J63" s="114"/>
      <c r="K63" s="108"/>
      <c r="L63" s="35"/>
      <c r="M63" s="35"/>
      <c r="N63" s="117"/>
      <c r="O63" s="118"/>
      <c r="P63" s="111"/>
      <c r="Q63" s="111"/>
      <c r="R63" s="111"/>
      <c r="S63" s="111"/>
      <c r="T63" s="111"/>
      <c r="U63" s="114"/>
      <c r="V63" s="108"/>
      <c r="W63" s="111"/>
      <c r="X63" s="111"/>
      <c r="Y63" s="111"/>
      <c r="Z63" s="111"/>
      <c r="AA63" s="111"/>
      <c r="AB63" s="114"/>
      <c r="AC63" s="108"/>
      <c r="AD63" s="111"/>
      <c r="AE63" s="111"/>
      <c r="AF63" s="114"/>
      <c r="AG63" s="108"/>
      <c r="AH63" s="111"/>
      <c r="AI63" s="111"/>
      <c r="AJ63" s="114"/>
      <c r="AK63" s="108"/>
      <c r="AL63" s="111"/>
      <c r="AM63" s="111"/>
      <c r="AN63" s="111"/>
      <c r="AO63" s="111"/>
      <c r="AP63" s="114"/>
      <c r="AQ63" s="108"/>
      <c r="AR63" s="111"/>
      <c r="AS63" s="111"/>
      <c r="AT63" s="111"/>
      <c r="AU63" s="111"/>
      <c r="AV63" s="111"/>
      <c r="AW63" s="114"/>
      <c r="AX63" s="108"/>
      <c r="AY63" s="111"/>
      <c r="AZ63" s="111"/>
      <c r="BA63" s="119"/>
      <c r="BB63" s="26"/>
      <c r="BC63" s="108"/>
      <c r="BD63" s="108"/>
      <c r="BE63" s="119"/>
      <c r="BF63" s="26"/>
      <c r="BG63" s="108"/>
      <c r="BH63" s="108"/>
      <c r="BI63" s="108"/>
      <c r="BJ63" s="108"/>
      <c r="BK63" s="108"/>
      <c r="BL63" s="119"/>
      <c r="BM63" s="26"/>
      <c r="BN63" s="108" t="s">
        <v>157</v>
      </c>
      <c r="BO63" s="108"/>
      <c r="BP63" s="108"/>
      <c r="BQ63" s="108"/>
      <c r="BR63" s="108"/>
      <c r="BS63" s="114"/>
      <c r="BT63" s="108"/>
      <c r="BU63" s="108"/>
      <c r="BV63" s="108"/>
      <c r="BY63" s="111"/>
      <c r="BZ63" s="111"/>
      <c r="CA63" s="114"/>
      <c r="CB63" s="108"/>
      <c r="CC63" s="111"/>
      <c r="CD63" s="111"/>
      <c r="CE63" s="111"/>
      <c r="CF63" s="111"/>
      <c r="CG63" s="114"/>
      <c r="CH63" s="108"/>
      <c r="CI63" s="111"/>
      <c r="CJ63" s="111"/>
      <c r="CK63" s="114"/>
      <c r="CL63" s="108"/>
      <c r="CM63" s="111"/>
      <c r="CN63" s="111"/>
      <c r="CO63" s="111"/>
      <c r="CP63" s="111"/>
      <c r="CQ63" s="111"/>
      <c r="CR63" s="114"/>
      <c r="CS63" s="108"/>
      <c r="CT63" s="111"/>
      <c r="CU63" s="111"/>
      <c r="CV63" s="114"/>
      <c r="CW63" s="108"/>
      <c r="CX63" s="111"/>
      <c r="CY63" s="111"/>
      <c r="CZ63" s="111"/>
      <c r="DA63" s="111"/>
      <c r="DB63" s="114"/>
      <c r="DC63" s="108"/>
      <c r="DD63" s="111"/>
      <c r="DE63" s="111"/>
      <c r="DF63" s="114"/>
      <c r="DG63" s="108"/>
      <c r="DH63" s="111"/>
      <c r="DI63" s="111"/>
      <c r="DJ63" s="111"/>
      <c r="DK63" s="111"/>
      <c r="DL63" s="111"/>
      <c r="DO63" s="111"/>
      <c r="DP63" s="111"/>
      <c r="DQ63" s="111"/>
      <c r="DR63" s="111"/>
      <c r="DS63" s="111"/>
      <c r="DT63" s="114"/>
      <c r="DU63" s="108"/>
      <c r="DV63" s="111"/>
      <c r="DW63" s="111"/>
      <c r="DX63" s="114"/>
      <c r="DY63" s="108"/>
      <c r="DZ63" s="111"/>
      <c r="EA63" s="111"/>
      <c r="ED63" s="111"/>
      <c r="EE63" s="111"/>
      <c r="EH63" s="111"/>
      <c r="EI63" s="111"/>
      <c r="EL63" s="111"/>
      <c r="EM63" s="111"/>
      <c r="EP63" s="111"/>
      <c r="EQ63" s="111"/>
      <c r="ET63" s="111"/>
      <c r="EU63" s="111"/>
      <c r="EX63" s="111"/>
      <c r="EY63" s="111"/>
      <c r="FB63" s="111"/>
      <c r="FC63" s="111"/>
      <c r="FF63" s="111"/>
      <c r="FG63" s="111"/>
      <c r="FJ63" s="111"/>
      <c r="FK63" s="111"/>
      <c r="FN63" s="111"/>
      <c r="FO63" s="111"/>
      <c r="FR63" s="111"/>
      <c r="FS63" s="111"/>
      <c r="FV63" s="111"/>
      <c r="FW63" s="111"/>
      <c r="FZ63" s="111"/>
      <c r="GA63" s="111"/>
      <c r="GD63" s="111"/>
      <c r="GE63" s="111"/>
      <c r="GH63" s="111"/>
      <c r="GI63" s="111"/>
      <c r="GL63" s="111"/>
      <c r="GM63" s="111"/>
    </row>
    <row r="64" spans="1:256" ht="15" x14ac:dyDescent="0.25">
      <c r="A64" s="4"/>
      <c r="B64" s="116" t="s">
        <v>166</v>
      </c>
      <c r="C64" s="117"/>
      <c r="D64" s="118"/>
      <c r="E64" s="110"/>
      <c r="F64" s="110"/>
      <c r="G64" s="110">
        <v>4</v>
      </c>
      <c r="H64" s="110">
        <v>5</v>
      </c>
      <c r="I64" s="110"/>
      <c r="J64" s="114"/>
      <c r="K64" s="108"/>
      <c r="L64" s="35"/>
      <c r="M64" s="35"/>
      <c r="N64" s="117"/>
      <c r="O64" s="118"/>
      <c r="P64" s="120">
        <v>4</v>
      </c>
      <c r="Q64" s="120">
        <v>2</v>
      </c>
      <c r="R64" s="120"/>
      <c r="S64" s="120"/>
      <c r="T64" s="120"/>
      <c r="U64" s="114"/>
      <c r="V64" s="108"/>
      <c r="W64" s="13"/>
      <c r="X64" s="13"/>
      <c r="Y64" s="13"/>
      <c r="Z64" s="13"/>
      <c r="AA64" s="13"/>
      <c r="AB64" s="114"/>
      <c r="AC64" s="108"/>
      <c r="AD64" s="13">
        <v>1</v>
      </c>
      <c r="AE64" s="13">
        <v>6</v>
      </c>
      <c r="AF64" s="114"/>
      <c r="AG64" s="108"/>
      <c r="AH64" s="13">
        <v>19</v>
      </c>
      <c r="AI64" s="13">
        <v>2</v>
      </c>
      <c r="AJ64" s="114"/>
      <c r="AK64" s="108"/>
      <c r="AL64" s="13"/>
      <c r="AM64" s="13"/>
      <c r="AN64" s="13"/>
      <c r="AO64" s="13"/>
      <c r="AP64" s="114"/>
      <c r="AQ64" s="108"/>
      <c r="AR64" s="13"/>
      <c r="AS64" s="13"/>
      <c r="AT64" s="13"/>
      <c r="AU64" s="13"/>
      <c r="AV64" s="13"/>
      <c r="AW64" s="114"/>
      <c r="AX64" s="108"/>
      <c r="AY64" s="13"/>
      <c r="AZ64" s="13"/>
      <c r="BA64" s="119"/>
      <c r="BB64" s="26"/>
      <c r="BE64" s="119"/>
      <c r="BF64" s="26"/>
      <c r="BI64" s="8">
        <v>17</v>
      </c>
      <c r="BL64" s="119"/>
      <c r="BM64" s="26"/>
      <c r="BN64" s="8">
        <v>1</v>
      </c>
      <c r="BO64" s="8">
        <v>0</v>
      </c>
      <c r="BS64" s="114"/>
      <c r="BT64" s="10"/>
      <c r="BU64" s="10">
        <v>8</v>
      </c>
      <c r="BV64" s="10">
        <v>13</v>
      </c>
      <c r="BY64" s="111"/>
      <c r="BZ64" s="111"/>
      <c r="CA64" s="9"/>
      <c r="CB64" s="10"/>
      <c r="CC64" s="13">
        <v>4</v>
      </c>
      <c r="CD64" s="13">
        <v>1</v>
      </c>
      <c r="CE64" s="13"/>
      <c r="CF64" s="13"/>
      <c r="CG64" s="114"/>
      <c r="CH64" s="108"/>
      <c r="CI64" s="13"/>
      <c r="CJ64" s="13"/>
      <c r="CK64" s="114"/>
      <c r="CL64" s="108"/>
      <c r="CM64" s="13">
        <v>0</v>
      </c>
      <c r="CN64" s="13"/>
      <c r="CO64" s="13"/>
      <c r="CP64" s="13"/>
      <c r="CQ64" s="13"/>
      <c r="CR64" s="114"/>
      <c r="CS64" s="108"/>
      <c r="CT64" s="13">
        <v>4</v>
      </c>
      <c r="CU64" s="13"/>
      <c r="CV64" s="114"/>
      <c r="CW64" s="108"/>
      <c r="CX64" s="13">
        <v>4</v>
      </c>
      <c r="CY64" s="13" t="s">
        <v>167</v>
      </c>
      <c r="CZ64" s="13"/>
      <c r="DA64" s="13"/>
      <c r="DB64" s="114"/>
      <c r="DC64" s="108"/>
      <c r="DD64" s="13"/>
      <c r="DE64" s="13"/>
      <c r="DF64" s="114"/>
      <c r="DG64" s="108"/>
      <c r="DH64" s="13" t="s">
        <v>168</v>
      </c>
      <c r="DI64" s="13" t="s">
        <v>168</v>
      </c>
      <c r="DJ64" s="13"/>
      <c r="DK64" s="13"/>
      <c r="DL64" s="13"/>
      <c r="DO64" s="111">
        <v>5</v>
      </c>
      <c r="DP64" s="111">
        <v>6</v>
      </c>
      <c r="DQ64" s="111"/>
      <c r="DR64" s="111"/>
      <c r="DS64" s="111"/>
      <c r="DT64" s="114"/>
      <c r="DU64" s="108"/>
      <c r="DV64" s="13">
        <v>2</v>
      </c>
      <c r="DW64" s="13">
        <v>5</v>
      </c>
      <c r="DX64" s="114"/>
      <c r="DY64" s="108"/>
      <c r="DZ64" s="13">
        <v>13</v>
      </c>
      <c r="EA64" s="13">
        <v>11</v>
      </c>
      <c r="ED64" s="13"/>
      <c r="EE64" s="13"/>
      <c r="EH64" s="13">
        <v>8</v>
      </c>
      <c r="EI64" s="13">
        <v>4</v>
      </c>
      <c r="EL64" s="13">
        <v>2</v>
      </c>
      <c r="EM64" s="13">
        <v>2</v>
      </c>
      <c r="EP64" s="13">
        <v>13</v>
      </c>
      <c r="EQ64" s="13">
        <v>20</v>
      </c>
      <c r="ET64" s="13">
        <v>3</v>
      </c>
      <c r="EU64" s="13"/>
      <c r="EX64" s="13"/>
      <c r="EY64" s="13"/>
      <c r="FB64" s="13"/>
      <c r="FC64" s="13"/>
      <c r="FF64" s="13">
        <v>1</v>
      </c>
      <c r="FG64" s="13">
        <v>2</v>
      </c>
      <c r="FJ64" s="13">
        <v>1</v>
      </c>
      <c r="FK64" s="13"/>
      <c r="FN64" s="13"/>
      <c r="FO64" s="13"/>
      <c r="FR64" s="13"/>
      <c r="FS64" s="13"/>
      <c r="FV64" s="13"/>
      <c r="FW64" s="13"/>
      <c r="FZ64" s="13"/>
      <c r="GA64" s="13"/>
      <c r="GD64" s="13"/>
      <c r="GE64" s="13"/>
      <c r="GH64" s="13"/>
      <c r="GI64" s="13"/>
      <c r="GL64" s="13"/>
      <c r="GM64" s="13"/>
      <c r="GP64" s="111"/>
      <c r="GQ64" s="111"/>
      <c r="GT64" s="111"/>
      <c r="GU64" s="111"/>
      <c r="GX64" s="111">
        <v>5</v>
      </c>
      <c r="GY64" s="111">
        <v>17</v>
      </c>
      <c r="HB64" s="111"/>
      <c r="HC64" s="111"/>
      <c r="HF64" s="111"/>
      <c r="HG64" s="111"/>
      <c r="HH64" s="111"/>
    </row>
    <row r="65" spans="1:256" ht="14.25" customHeight="1" x14ac:dyDescent="0.2">
      <c r="B65" s="116" t="s">
        <v>169</v>
      </c>
      <c r="C65" s="117"/>
      <c r="D65" s="118"/>
      <c r="E65" s="110"/>
      <c r="F65" s="110"/>
      <c r="G65" s="110">
        <v>9</v>
      </c>
      <c r="H65" s="110">
        <v>7</v>
      </c>
      <c r="I65" s="110"/>
      <c r="J65" s="114"/>
      <c r="K65" s="108"/>
      <c r="L65" s="35"/>
      <c r="M65" s="35"/>
      <c r="N65" s="117"/>
      <c r="O65" s="118"/>
      <c r="P65" s="120">
        <v>0</v>
      </c>
      <c r="Q65" s="120">
        <v>2</v>
      </c>
      <c r="R65" s="120"/>
      <c r="S65" s="120"/>
      <c r="T65" s="120"/>
      <c r="U65" s="114"/>
      <c r="V65" s="108"/>
      <c r="W65" s="13"/>
      <c r="X65" s="13"/>
      <c r="Y65" s="13"/>
      <c r="Z65" s="13"/>
      <c r="AA65" s="13"/>
      <c r="AB65" s="114"/>
      <c r="AC65" s="108"/>
      <c r="AD65" s="13">
        <v>0</v>
      </c>
      <c r="AE65" s="13">
        <v>4</v>
      </c>
      <c r="AF65" s="114"/>
      <c r="AG65" s="108"/>
      <c r="AH65" s="13">
        <v>16</v>
      </c>
      <c r="AI65" s="13">
        <v>6</v>
      </c>
      <c r="AJ65" s="114"/>
      <c r="AK65" s="108"/>
      <c r="AL65" s="13"/>
      <c r="AM65" s="13"/>
      <c r="AN65" s="13"/>
      <c r="AO65" s="13"/>
      <c r="AP65" s="114"/>
      <c r="AQ65" s="108"/>
      <c r="AR65" s="13"/>
      <c r="AS65" s="13"/>
      <c r="AT65" s="13"/>
      <c r="AU65" s="13"/>
      <c r="AV65" s="13"/>
      <c r="AW65" s="114"/>
      <c r="AX65" s="108"/>
      <c r="AY65" s="13"/>
      <c r="AZ65" s="13"/>
      <c r="BA65" s="119"/>
      <c r="BB65" s="26"/>
      <c r="BC65" s="10"/>
      <c r="BD65" s="10"/>
      <c r="BE65" s="119"/>
      <c r="BF65" s="26"/>
      <c r="BG65" s="10"/>
      <c r="BH65" s="10"/>
      <c r="BI65" s="10">
        <v>19</v>
      </c>
      <c r="BJ65" s="10"/>
      <c r="BK65" s="10"/>
      <c r="BL65" s="119"/>
      <c r="BM65" s="26"/>
      <c r="BN65" s="10">
        <v>0</v>
      </c>
      <c r="BO65" s="10">
        <v>0</v>
      </c>
      <c r="BP65" s="10"/>
      <c r="BQ65" s="10"/>
      <c r="BR65" s="10"/>
      <c r="BS65" s="114"/>
      <c r="BT65" s="10"/>
      <c r="BU65" s="10">
        <v>8</v>
      </c>
      <c r="BV65" s="10">
        <v>9</v>
      </c>
      <c r="BY65" s="111"/>
      <c r="BZ65" s="111"/>
      <c r="CA65" s="9"/>
      <c r="CB65" s="10"/>
      <c r="CC65" s="13">
        <v>25</v>
      </c>
      <c r="CD65" s="13">
        <v>16</v>
      </c>
      <c r="CE65" s="13"/>
      <c r="CF65" s="13"/>
      <c r="CG65" s="114"/>
      <c r="CH65" s="108"/>
      <c r="CI65" s="13"/>
      <c r="CJ65" s="13"/>
      <c r="CK65" s="114"/>
      <c r="CL65" s="108"/>
      <c r="CM65" s="13"/>
      <c r="CN65" s="13"/>
      <c r="CO65" s="13"/>
      <c r="CP65" s="13"/>
      <c r="CQ65" s="13"/>
      <c r="CR65" s="114"/>
      <c r="CS65" s="108"/>
      <c r="CT65" s="13">
        <v>7</v>
      </c>
      <c r="CU65" s="13"/>
      <c r="CV65" s="114"/>
      <c r="CW65" s="108"/>
      <c r="CX65" s="13"/>
      <c r="CY65" s="13"/>
      <c r="CZ65" s="13"/>
      <c r="DA65" s="13"/>
      <c r="DB65" s="114"/>
      <c r="DC65" s="108"/>
      <c r="DD65" s="13"/>
      <c r="DE65" s="13"/>
      <c r="DF65" s="114"/>
      <c r="DG65" s="108"/>
      <c r="DH65" s="13" t="s">
        <v>168</v>
      </c>
      <c r="DI65" s="13" t="s">
        <v>168</v>
      </c>
      <c r="DJ65" s="13"/>
      <c r="DK65" s="13"/>
      <c r="DL65" s="13"/>
      <c r="DO65" s="111">
        <v>4</v>
      </c>
      <c r="DP65" s="111">
        <v>7</v>
      </c>
      <c r="DQ65" s="111"/>
      <c r="DR65" s="111"/>
      <c r="DS65" s="111"/>
      <c r="DT65" s="114"/>
      <c r="DU65" s="108"/>
      <c r="DV65" s="13">
        <v>5</v>
      </c>
      <c r="DW65" s="13">
        <v>2</v>
      </c>
      <c r="DX65" s="114"/>
      <c r="DY65" s="108"/>
      <c r="DZ65" s="13">
        <v>21</v>
      </c>
      <c r="EA65" s="13">
        <v>17</v>
      </c>
      <c r="ED65" s="13"/>
      <c r="EE65" s="13"/>
      <c r="EH65" s="13">
        <v>6</v>
      </c>
      <c r="EI65" s="13">
        <v>5</v>
      </c>
      <c r="EL65" s="13">
        <v>1</v>
      </c>
      <c r="EM65" s="13">
        <v>1</v>
      </c>
      <c r="EP65" s="13">
        <v>14</v>
      </c>
      <c r="EQ65" s="13">
        <v>8</v>
      </c>
      <c r="ET65" s="13">
        <v>2</v>
      </c>
      <c r="EU65" s="13"/>
      <c r="EX65" s="13"/>
      <c r="EY65" s="13"/>
      <c r="FB65" s="13"/>
      <c r="FC65" s="13"/>
      <c r="FF65" s="13">
        <v>1</v>
      </c>
      <c r="FG65" s="13">
        <v>1</v>
      </c>
      <c r="FJ65" s="13">
        <v>4</v>
      </c>
      <c r="FK65" s="13"/>
      <c r="FN65" s="13"/>
      <c r="FO65" s="13"/>
      <c r="FR65" s="13"/>
      <c r="FS65" s="13"/>
      <c r="FV65" s="13"/>
      <c r="FW65" s="13"/>
      <c r="FZ65" s="13"/>
      <c r="GA65" s="13"/>
      <c r="GD65" s="13"/>
      <c r="GE65" s="13"/>
      <c r="GH65" s="13"/>
      <c r="GI65" s="13"/>
      <c r="GL65" s="13"/>
      <c r="GM65" s="13"/>
      <c r="GP65" s="13"/>
      <c r="GQ65" s="13"/>
      <c r="GT65" s="13"/>
      <c r="GU65" s="13"/>
      <c r="GX65" s="13">
        <v>6</v>
      </c>
      <c r="GY65" s="13">
        <v>6</v>
      </c>
      <c r="HB65" s="13"/>
      <c r="HC65" s="13"/>
      <c r="HF65" s="13"/>
      <c r="HG65" s="13"/>
      <c r="HH65" s="13"/>
    </row>
    <row r="66" spans="1:256" s="74" customFormat="1" ht="14.25" customHeight="1" x14ac:dyDescent="0.2">
      <c r="B66" s="116"/>
      <c r="C66" s="106"/>
      <c r="D66" s="107"/>
      <c r="E66" s="110"/>
      <c r="F66" s="110"/>
      <c r="G66" s="110"/>
      <c r="H66" s="110"/>
      <c r="I66" s="110"/>
      <c r="J66" s="109"/>
      <c r="K66" s="110"/>
      <c r="L66" s="35"/>
      <c r="M66" s="35"/>
      <c r="N66" s="106"/>
      <c r="O66" s="107"/>
      <c r="P66" s="120"/>
      <c r="Q66" s="120"/>
      <c r="R66" s="120"/>
      <c r="S66" s="120"/>
      <c r="T66" s="120"/>
      <c r="U66" s="109"/>
      <c r="V66" s="110"/>
      <c r="W66" s="120"/>
      <c r="X66" s="120"/>
      <c r="Y66" s="120"/>
      <c r="Z66" s="120"/>
      <c r="AA66" s="120"/>
      <c r="AB66" s="109"/>
      <c r="AC66" s="110"/>
      <c r="AD66" s="120"/>
      <c r="AE66" s="120"/>
      <c r="AF66" s="109"/>
      <c r="AG66" s="110"/>
      <c r="AH66" s="120"/>
      <c r="AI66" s="120"/>
      <c r="AJ66" s="109"/>
      <c r="AK66" s="110"/>
      <c r="AL66" s="120"/>
      <c r="AM66" s="120"/>
      <c r="AN66" s="120"/>
      <c r="AO66" s="120"/>
      <c r="AP66" s="109"/>
      <c r="AQ66" s="110"/>
      <c r="AR66" s="120"/>
      <c r="AS66" s="120"/>
      <c r="AT66" s="120"/>
      <c r="AU66" s="120"/>
      <c r="AV66" s="120"/>
      <c r="AW66" s="109"/>
      <c r="AX66" s="110"/>
      <c r="AY66" s="120"/>
      <c r="AZ66" s="120"/>
      <c r="BA66" s="112"/>
      <c r="BB66" s="113"/>
      <c r="BC66" s="73"/>
      <c r="BD66" s="73"/>
      <c r="BE66" s="112"/>
      <c r="BF66" s="113"/>
      <c r="BG66" s="73"/>
      <c r="BH66" s="73"/>
      <c r="BI66" s="73"/>
      <c r="BJ66" s="73"/>
      <c r="BK66" s="73"/>
      <c r="BL66" s="112"/>
      <c r="BM66" s="113"/>
      <c r="BN66" s="73"/>
      <c r="BO66" s="73"/>
      <c r="BP66" s="73"/>
      <c r="BQ66" s="73"/>
      <c r="BR66" s="73"/>
      <c r="BS66" s="109"/>
      <c r="BT66" s="110"/>
      <c r="BU66" s="110"/>
      <c r="BV66" s="110"/>
      <c r="BW66" s="72"/>
      <c r="BX66" s="73"/>
      <c r="BY66" s="111"/>
      <c r="BZ66" s="111"/>
      <c r="CA66" s="109"/>
      <c r="CB66" s="110"/>
      <c r="CC66" s="120"/>
      <c r="CD66" s="120"/>
      <c r="CE66" s="120"/>
      <c r="CF66" s="120"/>
      <c r="CG66" s="109"/>
      <c r="CH66" s="110"/>
      <c r="CI66" s="120"/>
      <c r="CJ66" s="120"/>
      <c r="CK66" s="109"/>
      <c r="CL66" s="110"/>
      <c r="CM66" s="120"/>
      <c r="CN66" s="120"/>
      <c r="CO66" s="120"/>
      <c r="CP66" s="120"/>
      <c r="CQ66" s="120"/>
      <c r="CR66" s="109"/>
      <c r="CS66" s="110"/>
      <c r="CT66" s="120"/>
      <c r="CU66" s="120"/>
      <c r="CV66" s="109"/>
      <c r="CW66" s="110"/>
      <c r="CX66" s="120"/>
      <c r="CY66" s="120"/>
      <c r="CZ66" s="120"/>
      <c r="DA66" s="120"/>
      <c r="DB66" s="114"/>
      <c r="DC66" s="108"/>
      <c r="DD66" s="120"/>
      <c r="DE66" s="120"/>
      <c r="DF66" s="114"/>
      <c r="DG66" s="108"/>
      <c r="DH66" s="120"/>
      <c r="DI66" s="120"/>
      <c r="DJ66" s="120"/>
      <c r="DK66" s="120"/>
      <c r="DL66" s="120"/>
      <c r="DM66" s="72"/>
      <c r="DN66" s="73"/>
      <c r="DO66" s="111"/>
      <c r="DP66" s="111"/>
      <c r="DQ66" s="111"/>
      <c r="DR66" s="111"/>
      <c r="DS66" s="111"/>
      <c r="DT66" s="109"/>
      <c r="DU66" s="110"/>
      <c r="DV66" s="120"/>
      <c r="DW66" s="120"/>
      <c r="DX66" s="109"/>
      <c r="DY66" s="110"/>
      <c r="DZ66" s="120"/>
      <c r="EA66" s="120"/>
      <c r="EB66" s="72"/>
      <c r="EC66" s="73"/>
      <c r="ED66" s="120"/>
      <c r="EE66" s="120"/>
      <c r="EF66" s="72"/>
      <c r="EG66" s="73"/>
      <c r="EH66" s="120"/>
      <c r="EI66" s="120"/>
      <c r="EJ66" s="72"/>
      <c r="EK66" s="73"/>
      <c r="EL66" s="120"/>
      <c r="EM66" s="120"/>
      <c r="EN66" s="72"/>
      <c r="EO66" s="73"/>
      <c r="EP66" s="120"/>
      <c r="EQ66" s="120"/>
      <c r="ER66" s="72"/>
      <c r="ES66" s="73"/>
      <c r="ET66" s="120"/>
      <c r="EU66" s="120"/>
      <c r="EV66" s="72"/>
      <c r="EW66" s="73"/>
      <c r="EX66" s="120"/>
      <c r="EY66" s="120"/>
      <c r="EZ66" s="72"/>
      <c r="FA66" s="73"/>
      <c r="FB66" s="120"/>
      <c r="FC66" s="120"/>
      <c r="FD66" s="72"/>
      <c r="FE66" s="73"/>
      <c r="FF66" s="120"/>
      <c r="FG66" s="120"/>
      <c r="FH66" s="72"/>
      <c r="FI66" s="73"/>
      <c r="FJ66" s="120"/>
      <c r="FK66" s="120"/>
      <c r="FL66" s="72"/>
      <c r="FM66" s="73"/>
      <c r="FN66" s="120"/>
      <c r="FO66" s="120"/>
      <c r="FP66" s="72"/>
      <c r="FQ66" s="73"/>
      <c r="FR66" s="120"/>
      <c r="FS66" s="120"/>
      <c r="FT66" s="72"/>
      <c r="FU66" s="73"/>
      <c r="FV66" s="120"/>
      <c r="FW66" s="120"/>
      <c r="FX66" s="72"/>
      <c r="FY66" s="73"/>
      <c r="FZ66" s="120"/>
      <c r="GA66" s="120"/>
      <c r="GB66" s="72"/>
      <c r="GC66" s="73"/>
      <c r="GD66" s="120"/>
      <c r="GE66" s="120"/>
      <c r="GF66" s="72"/>
      <c r="GG66" s="73"/>
      <c r="GH66" s="120"/>
      <c r="GI66" s="120"/>
      <c r="GJ66" s="72"/>
      <c r="GK66" s="73"/>
      <c r="GL66" s="120"/>
      <c r="GM66" s="120"/>
      <c r="GN66" s="72"/>
      <c r="GO66" s="73"/>
      <c r="GP66" s="120"/>
      <c r="GQ66" s="120"/>
      <c r="GR66" s="72"/>
      <c r="GS66" s="73"/>
      <c r="GT66" s="120"/>
      <c r="GU66" s="120"/>
      <c r="GV66" s="72"/>
      <c r="GW66" s="73"/>
      <c r="GX66" s="120"/>
      <c r="GY66" s="120"/>
      <c r="GZ66" s="72"/>
      <c r="HA66" s="73"/>
      <c r="HB66" s="120"/>
      <c r="HC66" s="120"/>
      <c r="HD66" s="72"/>
      <c r="HE66" s="73"/>
      <c r="HF66" s="120"/>
      <c r="HG66" s="120"/>
      <c r="HH66" s="120"/>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74" customFormat="1" ht="14.25" customHeight="1" x14ac:dyDescent="0.2">
      <c r="A67" s="121" t="s">
        <v>170</v>
      </c>
      <c r="C67" s="106"/>
      <c r="D67" s="107"/>
      <c r="E67" s="110"/>
      <c r="F67" s="110"/>
      <c r="G67" s="110"/>
      <c r="H67" s="110"/>
      <c r="I67" s="110"/>
      <c r="J67" s="109"/>
      <c r="K67" s="110"/>
      <c r="L67" s="35"/>
      <c r="M67" s="35"/>
      <c r="N67" s="106"/>
      <c r="O67" s="107"/>
      <c r="P67" s="120"/>
      <c r="Q67" s="120"/>
      <c r="R67" s="120"/>
      <c r="S67" s="120"/>
      <c r="T67" s="120"/>
      <c r="U67" s="109"/>
      <c r="V67" s="110"/>
      <c r="W67" s="120"/>
      <c r="X67" s="120"/>
      <c r="Y67" s="120"/>
      <c r="Z67" s="120"/>
      <c r="AA67" s="120"/>
      <c r="AB67" s="109"/>
      <c r="AC67" s="110"/>
      <c r="AD67" s="120"/>
      <c r="AE67" s="120"/>
      <c r="AF67" s="109"/>
      <c r="AG67" s="110"/>
      <c r="AH67" s="120"/>
      <c r="AI67" s="120"/>
      <c r="AJ67" s="109"/>
      <c r="AK67" s="110"/>
      <c r="AL67" s="120"/>
      <c r="AM67" s="120"/>
      <c r="AN67" s="120"/>
      <c r="AO67" s="120"/>
      <c r="AP67" s="109"/>
      <c r="AQ67" s="110"/>
      <c r="AR67" s="120"/>
      <c r="AS67" s="120"/>
      <c r="AT67" s="120"/>
      <c r="AU67" s="120"/>
      <c r="AV67" s="120"/>
      <c r="AW67" s="109"/>
      <c r="AX67" s="110"/>
      <c r="AY67" s="120"/>
      <c r="AZ67" s="120"/>
      <c r="BA67" s="112"/>
      <c r="BB67" s="113"/>
      <c r="BC67" s="73"/>
      <c r="BD67" s="73"/>
      <c r="BE67" s="112"/>
      <c r="BF67" s="113"/>
      <c r="BG67" s="73"/>
      <c r="BH67" s="73"/>
      <c r="BI67" s="73"/>
      <c r="BJ67" s="73"/>
      <c r="BK67" s="73"/>
      <c r="BL67" s="112"/>
      <c r="BM67" s="113"/>
      <c r="BN67" s="73"/>
      <c r="BO67" s="73"/>
      <c r="BP67" s="73"/>
      <c r="BQ67" s="73"/>
      <c r="BR67" s="73"/>
      <c r="BS67" s="109"/>
      <c r="BT67" s="110"/>
      <c r="BU67" s="110"/>
      <c r="BV67" s="110"/>
      <c r="BW67" s="72"/>
      <c r="BX67" s="73"/>
      <c r="BY67" s="111"/>
      <c r="BZ67" s="111"/>
      <c r="CA67" s="109"/>
      <c r="CB67" s="110"/>
      <c r="CC67" s="120"/>
      <c r="CD67" s="120"/>
      <c r="CE67" s="120"/>
      <c r="CF67" s="120"/>
      <c r="CG67" s="109"/>
      <c r="CH67" s="110"/>
      <c r="CI67" s="120"/>
      <c r="CJ67" s="120"/>
      <c r="CK67" s="109"/>
      <c r="CL67" s="110"/>
      <c r="CM67" s="120"/>
      <c r="CN67" s="120"/>
      <c r="CO67" s="120"/>
      <c r="CP67" s="120"/>
      <c r="CQ67" s="120"/>
      <c r="CR67" s="109"/>
      <c r="CS67" s="110"/>
      <c r="CT67" s="120"/>
      <c r="CU67" s="120"/>
      <c r="CV67" s="109"/>
      <c r="CW67" s="110"/>
      <c r="CX67" s="120"/>
      <c r="CY67" s="120"/>
      <c r="CZ67" s="120"/>
      <c r="DA67" s="120"/>
      <c r="DB67" s="114"/>
      <c r="DC67" s="108"/>
      <c r="DD67" s="120"/>
      <c r="DE67" s="120"/>
      <c r="DF67" s="114"/>
      <c r="DG67" s="108"/>
      <c r="DH67" s="120"/>
      <c r="DI67" s="120"/>
      <c r="DJ67" s="120"/>
      <c r="DK67" s="120"/>
      <c r="DL67" s="120"/>
      <c r="DM67" s="72"/>
      <c r="DN67" s="73"/>
      <c r="DO67" s="111"/>
      <c r="DP67" s="111"/>
      <c r="DQ67" s="111"/>
      <c r="DR67" s="111"/>
      <c r="DS67" s="111"/>
      <c r="DT67" s="109"/>
      <c r="DU67" s="110"/>
      <c r="DV67" s="120"/>
      <c r="DW67" s="120"/>
      <c r="DX67" s="109"/>
      <c r="DY67" s="110"/>
      <c r="DZ67" s="120"/>
      <c r="EA67" s="120"/>
      <c r="EB67" s="72"/>
      <c r="EC67" s="73"/>
      <c r="ED67" s="120"/>
      <c r="EE67" s="120"/>
      <c r="EF67" s="72"/>
      <c r="EG67" s="73"/>
      <c r="EH67" s="120"/>
      <c r="EI67" s="120"/>
      <c r="EJ67" s="72"/>
      <c r="EK67" s="73"/>
      <c r="EL67" s="120"/>
      <c r="EM67" s="120"/>
      <c r="EN67" s="72"/>
      <c r="EO67" s="73"/>
      <c r="EP67" s="120"/>
      <c r="EQ67" s="120"/>
      <c r="ER67" s="72"/>
      <c r="ES67" s="73"/>
      <c r="ET67" s="120"/>
      <c r="EU67" s="120"/>
      <c r="EV67" s="72"/>
      <c r="EW67" s="73"/>
      <c r="EX67" s="120"/>
      <c r="EY67" s="120"/>
      <c r="EZ67" s="72"/>
      <c r="FA67" s="73"/>
      <c r="FB67" s="120"/>
      <c r="FC67" s="120"/>
      <c r="FD67" s="72"/>
      <c r="FE67" s="73"/>
      <c r="FF67" s="120"/>
      <c r="FG67" s="120"/>
      <c r="FH67" s="72"/>
      <c r="FI67" s="73"/>
      <c r="FJ67" s="120"/>
      <c r="FK67" s="120"/>
      <c r="FL67" s="72"/>
      <c r="FM67" s="73"/>
      <c r="FN67" s="120"/>
      <c r="FO67" s="120"/>
      <c r="FP67" s="72"/>
      <c r="FQ67" s="73"/>
      <c r="FR67" s="120"/>
      <c r="FS67" s="120"/>
      <c r="FT67" s="72"/>
      <c r="FU67" s="73"/>
      <c r="FV67" s="120"/>
      <c r="FW67" s="120"/>
      <c r="FX67" s="72"/>
      <c r="FY67" s="73"/>
      <c r="FZ67" s="120"/>
      <c r="GA67" s="120"/>
      <c r="GB67" s="72"/>
      <c r="GC67" s="73"/>
      <c r="GD67" s="120"/>
      <c r="GE67" s="120"/>
      <c r="GF67" s="72"/>
      <c r="GG67" s="73"/>
      <c r="GH67" s="120"/>
      <c r="GI67" s="120"/>
      <c r="GJ67" s="72"/>
      <c r="GK67" s="73"/>
      <c r="GL67" s="120"/>
      <c r="GM67" s="120"/>
      <c r="GN67" s="72"/>
      <c r="GO67" s="73"/>
      <c r="GP67" s="120"/>
      <c r="GQ67" s="120"/>
      <c r="GR67" s="72"/>
      <c r="GS67" s="73"/>
      <c r="GT67" s="120"/>
      <c r="GU67" s="120"/>
      <c r="GV67" s="72"/>
      <c r="GW67" s="73"/>
      <c r="GX67" s="120"/>
      <c r="GY67" s="120"/>
      <c r="GZ67" s="72"/>
      <c r="HA67" s="73"/>
      <c r="HB67" s="120"/>
      <c r="HC67" s="120"/>
      <c r="HD67" s="72"/>
      <c r="HE67" s="73"/>
      <c r="HF67" s="120"/>
      <c r="HG67" s="120"/>
      <c r="HH67" s="120"/>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122" customFormat="1" ht="38.25" x14ac:dyDescent="0.2">
      <c r="B68" s="122" t="s">
        <v>171</v>
      </c>
      <c r="C68" s="123"/>
      <c r="D68" s="124"/>
      <c r="E68" s="124" t="s">
        <v>172</v>
      </c>
      <c r="F68" s="124"/>
      <c r="G68" s="124"/>
      <c r="H68" s="124"/>
      <c r="I68" s="124"/>
      <c r="J68" s="123"/>
      <c r="K68" s="124"/>
      <c r="L68" s="35" t="s">
        <v>173</v>
      </c>
      <c r="M68" s="35"/>
      <c r="O68" s="124"/>
      <c r="P68" s="122" t="s">
        <v>174</v>
      </c>
      <c r="U68" s="123"/>
      <c r="V68" s="124"/>
      <c r="W68" s="122" t="s">
        <v>175</v>
      </c>
      <c r="AC68" s="124"/>
      <c r="AD68" s="122" t="s">
        <v>176</v>
      </c>
      <c r="AF68" s="123"/>
      <c r="AG68" s="124"/>
      <c r="AH68" s="122" t="s">
        <v>177</v>
      </c>
      <c r="AJ68" s="123"/>
      <c r="AK68" s="124"/>
      <c r="AL68" s="122" t="s">
        <v>178</v>
      </c>
      <c r="AP68" s="123"/>
      <c r="AQ68" s="124"/>
      <c r="AT68" s="122" t="s">
        <v>179</v>
      </c>
      <c r="AW68" s="123"/>
      <c r="AX68" s="124"/>
      <c r="AY68" s="122" t="s">
        <v>180</v>
      </c>
      <c r="BB68" s="124"/>
      <c r="BC68" s="124" t="s">
        <v>181</v>
      </c>
      <c r="BD68" s="124"/>
      <c r="BF68" s="124"/>
      <c r="BG68" s="124" t="s">
        <v>182</v>
      </c>
      <c r="BH68" s="124"/>
      <c r="BI68" s="124"/>
      <c r="BJ68" s="124"/>
      <c r="BK68" s="124"/>
      <c r="BM68" s="124"/>
      <c r="BN68" s="124" t="s">
        <v>183</v>
      </c>
      <c r="BO68" s="124"/>
      <c r="BP68" s="124"/>
      <c r="BQ68" s="124"/>
      <c r="BR68" s="124"/>
      <c r="BS68" s="123"/>
      <c r="BT68" s="124"/>
      <c r="BU68" s="124" t="s">
        <v>184</v>
      </c>
      <c r="BV68" s="124"/>
      <c r="BX68" s="124"/>
      <c r="BY68" s="122" t="s">
        <v>185</v>
      </c>
      <c r="CA68" s="123"/>
      <c r="CB68" s="124"/>
      <c r="CC68" s="122" t="s">
        <v>186</v>
      </c>
      <c r="CG68" s="123"/>
      <c r="CH68" s="124"/>
      <c r="CI68" s="35" t="s">
        <v>187</v>
      </c>
      <c r="CJ68" s="35"/>
      <c r="CK68" s="123"/>
      <c r="CL68" s="124"/>
      <c r="CM68" s="35" t="s">
        <v>188</v>
      </c>
      <c r="CN68" s="35" t="s">
        <v>168</v>
      </c>
      <c r="CO68" s="35"/>
      <c r="CP68" s="35"/>
      <c r="CQ68" s="35"/>
      <c r="CR68" s="123"/>
      <c r="CS68" s="124"/>
      <c r="CT68" s="35" t="s">
        <v>189</v>
      </c>
      <c r="CU68" s="35"/>
      <c r="CV68" s="123"/>
      <c r="CW68" s="124"/>
      <c r="CX68" s="35" t="s">
        <v>190</v>
      </c>
      <c r="CY68" s="35"/>
      <c r="CZ68" s="35"/>
      <c r="DA68" s="35"/>
      <c r="DC68" s="124"/>
      <c r="DD68" s="122" t="s">
        <v>191</v>
      </c>
      <c r="DG68" s="124"/>
      <c r="DH68" s="122" t="s">
        <v>189</v>
      </c>
      <c r="DN68" s="124"/>
      <c r="DO68" s="122" t="s">
        <v>192</v>
      </c>
      <c r="DU68" s="124"/>
      <c r="DV68" s="122" t="s">
        <v>193</v>
      </c>
      <c r="DY68" s="124"/>
      <c r="DZ68" s="122" t="s">
        <v>194</v>
      </c>
      <c r="EB68" s="123"/>
      <c r="EC68" s="124"/>
      <c r="ED68" s="35" t="s">
        <v>195</v>
      </c>
      <c r="EE68" s="35"/>
      <c r="EF68" s="123"/>
      <c r="EG68" s="124"/>
      <c r="EH68" s="35" t="s">
        <v>196</v>
      </c>
      <c r="EI68" s="35"/>
      <c r="EJ68" s="123"/>
      <c r="EK68" s="124"/>
      <c r="EL68" s="35" t="s">
        <v>197</v>
      </c>
      <c r="EM68" s="35"/>
      <c r="EN68" s="123"/>
      <c r="EO68" s="124"/>
      <c r="EP68" s="35" t="s">
        <v>198</v>
      </c>
      <c r="EQ68" s="35" t="s">
        <v>199</v>
      </c>
      <c r="ER68" s="123"/>
      <c r="ES68" s="124"/>
      <c r="ET68" s="35" t="s">
        <v>200</v>
      </c>
      <c r="EU68" s="35"/>
      <c r="EV68" s="123"/>
      <c r="EW68" s="124"/>
      <c r="EX68" s="35" t="s">
        <v>201</v>
      </c>
      <c r="EY68" s="35"/>
      <c r="EZ68" s="123"/>
      <c r="FA68" s="124"/>
      <c r="FB68" s="35" t="s">
        <v>202</v>
      </c>
      <c r="FC68" s="35"/>
      <c r="FD68" s="123"/>
      <c r="FE68" s="124"/>
      <c r="FF68" s="35" t="s">
        <v>203</v>
      </c>
      <c r="FG68" s="35"/>
      <c r="FH68" s="123"/>
      <c r="FI68" s="124"/>
      <c r="FJ68" s="35" t="s">
        <v>204</v>
      </c>
      <c r="FK68" s="35"/>
      <c r="FL68" s="123"/>
      <c r="FM68" s="124"/>
      <c r="FN68" s="35" t="s">
        <v>205</v>
      </c>
      <c r="FO68" s="35"/>
      <c r="FP68" s="123"/>
      <c r="FQ68" s="124"/>
      <c r="FR68" s="35" t="s">
        <v>206</v>
      </c>
      <c r="FS68" s="35"/>
      <c r="FT68" s="123"/>
      <c r="FU68" s="124"/>
      <c r="FV68" s="35" t="s">
        <v>207</v>
      </c>
      <c r="FW68" s="35"/>
      <c r="FX68" s="123"/>
      <c r="FY68" s="124"/>
      <c r="FZ68" s="35" t="s">
        <v>208</v>
      </c>
      <c r="GA68" s="35"/>
      <c r="GB68" s="123"/>
      <c r="GC68" s="124"/>
      <c r="GD68" s="35" t="s">
        <v>209</v>
      </c>
      <c r="GE68" s="35"/>
      <c r="GF68" s="123"/>
      <c r="GG68" s="124"/>
      <c r="GH68" s="35"/>
      <c r="GI68" s="35"/>
      <c r="GJ68" s="123"/>
      <c r="GK68" s="124"/>
      <c r="GL68" s="35" t="s">
        <v>210</v>
      </c>
      <c r="GM68" s="35"/>
      <c r="GN68" s="123"/>
      <c r="GO68" s="124"/>
      <c r="GP68" s="35" t="s">
        <v>211</v>
      </c>
      <c r="GQ68" s="35"/>
      <c r="GR68" s="123"/>
      <c r="GS68" s="124"/>
      <c r="GT68" s="35" t="s">
        <v>212</v>
      </c>
      <c r="GU68" s="35"/>
      <c r="GV68" s="123"/>
      <c r="GW68" s="124"/>
      <c r="GX68" s="35" t="s">
        <v>213</v>
      </c>
      <c r="GY68" s="35"/>
      <c r="GZ68" s="123"/>
      <c r="HA68" s="124"/>
      <c r="HB68" s="35" t="s">
        <v>214</v>
      </c>
      <c r="HC68" s="35"/>
      <c r="HD68" s="123"/>
      <c r="HE68" s="124"/>
      <c r="HF68" s="35"/>
      <c r="HG68" s="35" t="s">
        <v>215</v>
      </c>
      <c r="HH68" s="35"/>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85" customFormat="1" x14ac:dyDescent="0.2">
      <c r="C69" s="125"/>
      <c r="D69" s="126"/>
      <c r="E69" s="92"/>
      <c r="F69" s="92"/>
      <c r="G69" s="92"/>
      <c r="H69" s="92"/>
      <c r="I69" s="92"/>
      <c r="J69" s="91"/>
      <c r="K69" s="92"/>
      <c r="L69" s="127"/>
      <c r="N69" s="125"/>
      <c r="O69" s="126"/>
      <c r="P69" s="85">
        <v>0.62</v>
      </c>
      <c r="U69" s="91"/>
      <c r="V69" s="92"/>
      <c r="W69" s="127">
        <f>9194/31017</f>
        <v>0.29641809330367219</v>
      </c>
      <c r="AB69" s="91"/>
      <c r="AC69" s="92"/>
      <c r="AD69" s="85">
        <v>0.98</v>
      </c>
      <c r="AF69" s="91"/>
      <c r="AG69" s="92"/>
      <c r="AH69" s="127"/>
      <c r="AJ69" s="91"/>
      <c r="AK69" s="92"/>
      <c r="AL69" s="85">
        <v>0.31</v>
      </c>
      <c r="AP69" s="91"/>
      <c r="AQ69" s="92"/>
      <c r="AR69" s="127"/>
      <c r="AT69" s="127"/>
      <c r="AW69" s="91"/>
      <c r="AX69" s="92"/>
      <c r="AY69" s="127"/>
      <c r="BA69" s="91"/>
      <c r="BB69" s="92"/>
      <c r="BC69" s="92"/>
      <c r="BD69" s="92"/>
      <c r="BE69" s="91"/>
      <c r="BF69" s="92"/>
      <c r="BG69" s="92"/>
      <c r="BH69" s="92"/>
      <c r="BI69" s="92"/>
      <c r="BJ69" s="92"/>
      <c r="BK69" s="92"/>
      <c r="BL69" s="91"/>
      <c r="BM69" s="92"/>
      <c r="BN69" s="92" t="s">
        <v>216</v>
      </c>
      <c r="BO69" s="92"/>
      <c r="BP69" s="92"/>
      <c r="BQ69" s="92"/>
      <c r="BR69" s="92"/>
      <c r="BS69" s="91"/>
      <c r="BT69" s="128"/>
      <c r="BU69" s="128">
        <f>2670.872/4973.042</f>
        <v>0.53707006697309201</v>
      </c>
      <c r="BV69" s="92"/>
      <c r="BW69" s="91"/>
      <c r="BX69" s="92"/>
      <c r="BY69" s="129"/>
      <c r="CA69" s="91"/>
      <c r="CB69" s="92"/>
      <c r="CG69" s="91"/>
      <c r="CH69" s="92"/>
      <c r="CI69" s="127"/>
      <c r="CK69" s="91"/>
      <c r="CL69" s="92"/>
      <c r="CM69" s="127"/>
      <c r="CR69" s="91"/>
      <c r="CS69" s="92"/>
      <c r="CT69" s="127">
        <f>1370.525/3461.752</f>
        <v>0.39590502150356238</v>
      </c>
      <c r="CV69" s="91"/>
      <c r="CW69" s="92"/>
      <c r="CX69" s="127"/>
      <c r="DB69" s="91"/>
      <c r="DC69" s="92"/>
      <c r="DF69" s="91"/>
      <c r="DG69" s="92"/>
      <c r="DH69" s="85">
        <v>0.40200000000000002</v>
      </c>
      <c r="DM69" s="91"/>
      <c r="DN69" s="92"/>
      <c r="DO69" s="129">
        <v>0.501</v>
      </c>
      <c r="DT69" s="91"/>
      <c r="DU69" s="92"/>
      <c r="DX69" s="91"/>
      <c r="DY69" s="92"/>
      <c r="DZ69" s="85">
        <f>275043/581036</f>
        <v>0.47336653839004811</v>
      </c>
      <c r="EB69" s="91"/>
      <c r="EC69" s="92"/>
      <c r="ED69" s="127">
        <v>0.93899999999999995</v>
      </c>
      <c r="EF69" s="91"/>
      <c r="EG69" s="92"/>
      <c r="EH69" s="127">
        <f>5027.701/5960.894</f>
        <v>0.84344747616716553</v>
      </c>
      <c r="EJ69" s="91"/>
      <c r="EK69" s="92"/>
      <c r="EL69" s="127">
        <f>39502/53068</f>
        <v>0.74436571945428509</v>
      </c>
      <c r="EN69" s="91"/>
      <c r="EO69" s="92"/>
      <c r="EP69" s="127">
        <v>0.24</v>
      </c>
      <c r="ER69" s="91"/>
      <c r="ES69" s="92"/>
      <c r="ET69" s="127"/>
      <c r="EV69" s="91"/>
      <c r="EW69" s="92"/>
      <c r="EX69" s="127"/>
      <c r="EY69" s="127"/>
      <c r="EZ69" s="91"/>
      <c r="FA69" s="92"/>
      <c r="FB69" s="127"/>
      <c r="FD69" s="91"/>
      <c r="FE69" s="92"/>
      <c r="FF69" s="127">
        <f>196551/258301</f>
        <v>0.76093782060464343</v>
      </c>
      <c r="FH69" s="91"/>
      <c r="FI69" s="92"/>
      <c r="FJ69" s="127"/>
      <c r="FL69" s="91"/>
      <c r="FM69" s="92"/>
      <c r="FN69" s="127"/>
      <c r="FP69" s="91"/>
      <c r="FQ69" s="92"/>
      <c r="FR69" s="127"/>
      <c r="FT69" s="91"/>
      <c r="FU69" s="92"/>
      <c r="FV69" s="127"/>
      <c r="FX69" s="91"/>
      <c r="FY69" s="92"/>
      <c r="FZ69" s="127"/>
      <c r="GB69" s="91"/>
      <c r="GC69" s="92"/>
      <c r="GD69" s="127"/>
      <c r="GF69" s="91"/>
      <c r="GG69" s="92"/>
      <c r="GH69" s="127"/>
      <c r="GJ69" s="91"/>
      <c r="GK69" s="92"/>
      <c r="GL69" s="127" t="s">
        <v>168</v>
      </c>
      <c r="GN69" s="91"/>
      <c r="GO69" s="92"/>
      <c r="GP69" s="127"/>
      <c r="GR69" s="91"/>
      <c r="GS69" s="92"/>
      <c r="GT69" s="127"/>
      <c r="GV69" s="91"/>
      <c r="GW69" s="92"/>
      <c r="GX69" s="127" t="s">
        <v>168</v>
      </c>
      <c r="GZ69" s="91"/>
      <c r="HA69" s="92"/>
      <c r="HB69" s="127"/>
      <c r="HD69" s="91"/>
      <c r="HE69" s="92"/>
      <c r="HF69" s="127"/>
      <c r="HG69" s="127"/>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122" customFormat="1" ht="25.5" x14ac:dyDescent="0.2">
      <c r="B70" s="122" t="s">
        <v>217</v>
      </c>
      <c r="C70" s="123"/>
      <c r="D70" s="124"/>
      <c r="E70" s="124"/>
      <c r="F70" s="124"/>
      <c r="G70" s="124"/>
      <c r="H70" s="124"/>
      <c r="I70" s="124"/>
      <c r="J70" s="123"/>
      <c r="K70" s="124"/>
      <c r="L70" s="35"/>
      <c r="M70" s="35"/>
      <c r="O70" s="124"/>
      <c r="P70" s="122" t="s">
        <v>218</v>
      </c>
      <c r="U70" s="123"/>
      <c r="V70" s="124"/>
      <c r="W70" s="122" t="s">
        <v>219</v>
      </c>
      <c r="AC70" s="124"/>
      <c r="AD70" s="122" t="s">
        <v>220</v>
      </c>
      <c r="AF70" s="123"/>
      <c r="AG70" s="124"/>
      <c r="AJ70" s="123"/>
      <c r="AK70" s="124"/>
      <c r="AL70" s="122" t="s">
        <v>221</v>
      </c>
      <c r="AP70" s="123"/>
      <c r="AQ70" s="124"/>
      <c r="AW70" s="123"/>
      <c r="AX70" s="124"/>
      <c r="BB70" s="124"/>
      <c r="BC70" s="124"/>
      <c r="BD70" s="124"/>
      <c r="BF70" s="124"/>
      <c r="BG70" s="124"/>
      <c r="BH70" s="124"/>
      <c r="BI70" s="124"/>
      <c r="BJ70" s="124"/>
      <c r="BK70" s="124"/>
      <c r="BM70" s="124"/>
      <c r="BN70" s="124" t="s">
        <v>222</v>
      </c>
      <c r="BO70" s="124"/>
      <c r="BP70" s="124"/>
      <c r="BQ70" s="124"/>
      <c r="BR70" s="124"/>
      <c r="BS70" s="123"/>
      <c r="BT70" s="124"/>
      <c r="BU70" s="124" t="s">
        <v>223</v>
      </c>
      <c r="BV70" s="124"/>
      <c r="BX70" s="124"/>
      <c r="CA70" s="123"/>
      <c r="CB70" s="124"/>
      <c r="CG70" s="123"/>
      <c r="CH70" s="124"/>
      <c r="CI70" s="35"/>
      <c r="CJ70" s="35"/>
      <c r="CK70" s="123"/>
      <c r="CL70" s="124"/>
      <c r="CM70" s="35" t="s">
        <v>168</v>
      </c>
      <c r="CN70" s="35" t="s">
        <v>168</v>
      </c>
      <c r="CO70" s="35"/>
      <c r="CP70" s="35"/>
      <c r="CQ70" s="35"/>
      <c r="CR70" s="123"/>
      <c r="CS70" s="124"/>
      <c r="CT70" s="35" t="s">
        <v>224</v>
      </c>
      <c r="CU70" s="35"/>
      <c r="CV70" s="123"/>
      <c r="CW70" s="124"/>
      <c r="CX70" s="35" t="s">
        <v>225</v>
      </c>
      <c r="CY70" s="35"/>
      <c r="CZ70" s="35"/>
      <c r="DA70" s="35"/>
      <c r="DC70" s="124"/>
      <c r="DG70" s="124"/>
      <c r="DH70" s="122" t="s">
        <v>226</v>
      </c>
      <c r="DN70" s="124"/>
      <c r="DO70" s="122" t="s">
        <v>227</v>
      </c>
      <c r="DU70" s="124"/>
      <c r="DY70" s="124"/>
      <c r="DZ70" s="122" t="s">
        <v>228</v>
      </c>
      <c r="EB70" s="123"/>
      <c r="EC70" s="124"/>
      <c r="ED70" s="35"/>
      <c r="EE70" s="35"/>
      <c r="EF70" s="123"/>
      <c r="EG70" s="124"/>
      <c r="EH70" s="35" t="s">
        <v>229</v>
      </c>
      <c r="EI70" s="35"/>
      <c r="EJ70" s="123"/>
      <c r="EK70" s="124"/>
      <c r="EL70" s="35" t="s">
        <v>228</v>
      </c>
      <c r="EM70" s="35"/>
      <c r="EN70" s="123"/>
      <c r="EO70" s="124"/>
      <c r="EP70" s="35"/>
      <c r="EQ70" s="35"/>
      <c r="ER70" s="123"/>
      <c r="ES70" s="124"/>
      <c r="ET70" s="35"/>
      <c r="EU70" s="35"/>
      <c r="EV70" s="123"/>
      <c r="EW70" s="124"/>
      <c r="EX70" s="35"/>
      <c r="EY70" s="35"/>
      <c r="EZ70" s="123"/>
      <c r="FA70" s="124"/>
      <c r="FB70" s="35" t="s">
        <v>230</v>
      </c>
      <c r="FC70" s="35"/>
      <c r="FD70" s="123"/>
      <c r="FE70" s="124"/>
      <c r="FF70" s="35" t="s">
        <v>231</v>
      </c>
      <c r="FG70" s="35"/>
      <c r="FH70" s="123"/>
      <c r="FI70" s="124"/>
      <c r="FJ70" s="35"/>
      <c r="FK70" s="35"/>
      <c r="FL70" s="123"/>
      <c r="FM70" s="124"/>
      <c r="FN70" s="35"/>
      <c r="FO70" s="35"/>
      <c r="FP70" s="123"/>
      <c r="FQ70" s="124"/>
      <c r="FR70" s="35"/>
      <c r="FS70" s="35"/>
      <c r="FT70" s="123"/>
      <c r="FU70" s="124"/>
      <c r="FV70" s="35"/>
      <c r="FW70" s="35"/>
      <c r="FX70" s="123"/>
      <c r="FY70" s="124"/>
      <c r="FZ70" s="35"/>
      <c r="GA70" s="35"/>
      <c r="GB70" s="123"/>
      <c r="GC70" s="124"/>
      <c r="GD70" s="35"/>
      <c r="GE70" s="35"/>
      <c r="GF70" s="123"/>
      <c r="GG70" s="124"/>
      <c r="GH70" s="35"/>
      <c r="GI70" s="35"/>
      <c r="GJ70" s="123"/>
      <c r="GK70" s="124"/>
      <c r="GL70" s="35"/>
      <c r="GM70" s="35"/>
      <c r="GN70" s="123"/>
      <c r="GO70" s="124"/>
      <c r="GP70" s="35"/>
      <c r="GQ70" s="35"/>
      <c r="GR70" s="123"/>
      <c r="GS70" s="124"/>
      <c r="GT70" s="35"/>
      <c r="GU70" s="35"/>
      <c r="GV70" s="123"/>
      <c r="GW70" s="124"/>
      <c r="GX70" s="35" t="s">
        <v>232</v>
      </c>
      <c r="GY70" s="35"/>
      <c r="GZ70" s="123"/>
      <c r="HA70" s="124"/>
      <c r="HB70" s="35"/>
      <c r="HC70" s="35"/>
      <c r="HD70" s="123"/>
      <c r="HE70" s="124"/>
      <c r="HF70" s="35"/>
      <c r="HG70" s="35"/>
      <c r="HH70" s="35"/>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85" customFormat="1" ht="14.25" customHeight="1" x14ac:dyDescent="0.2">
      <c r="C71" s="125"/>
      <c r="D71" s="126"/>
      <c r="E71" s="92"/>
      <c r="F71" s="92"/>
      <c r="G71" s="92"/>
      <c r="H71" s="92"/>
      <c r="I71" s="92"/>
      <c r="J71" s="91"/>
      <c r="K71" s="92"/>
      <c r="L71" s="35" t="s">
        <v>168</v>
      </c>
      <c r="M71" s="35" t="s">
        <v>168</v>
      </c>
      <c r="N71" s="125"/>
      <c r="O71" s="126"/>
      <c r="P71" s="85">
        <v>0.35</v>
      </c>
      <c r="U71" s="91"/>
      <c r="V71" s="92"/>
      <c r="W71" s="130"/>
      <c r="AB71" s="91"/>
      <c r="AC71" s="92"/>
      <c r="AD71" s="85">
        <v>0.02</v>
      </c>
      <c r="AF71" s="91"/>
      <c r="AG71" s="92"/>
      <c r="AH71" s="130"/>
      <c r="AJ71" s="91"/>
      <c r="AK71" s="92"/>
      <c r="AL71" s="85">
        <v>0.3</v>
      </c>
      <c r="AP71" s="91"/>
      <c r="AQ71" s="92"/>
      <c r="AR71" s="130"/>
      <c r="AT71" s="130"/>
      <c r="AW71" s="91"/>
      <c r="AX71" s="92"/>
      <c r="AY71" s="130"/>
      <c r="BA71" s="91"/>
      <c r="BB71" s="92"/>
      <c r="BC71" s="92"/>
      <c r="BD71" s="92"/>
      <c r="BE71" s="91"/>
      <c r="BF71" s="92"/>
      <c r="BG71" s="92"/>
      <c r="BH71" s="92"/>
      <c r="BI71" s="92"/>
      <c r="BJ71" s="92"/>
      <c r="BK71" s="92"/>
      <c r="BL71" s="91"/>
      <c r="BM71" s="92"/>
      <c r="BN71" s="92" t="s">
        <v>216</v>
      </c>
      <c r="BO71" s="92"/>
      <c r="BP71" s="92"/>
      <c r="BQ71" s="92"/>
      <c r="BR71" s="92"/>
      <c r="BS71" s="91"/>
      <c r="BT71" s="131"/>
      <c r="BU71" s="131">
        <f>622.065/4973.042</f>
        <v>0.12508742134090162</v>
      </c>
      <c r="BV71" s="92"/>
      <c r="BW71" s="91"/>
      <c r="BX71" s="92"/>
      <c r="CA71" s="91"/>
      <c r="CB71" s="92"/>
      <c r="CG71" s="91"/>
      <c r="CH71" s="92"/>
      <c r="CI71" s="130"/>
      <c r="CK71" s="91"/>
      <c r="CL71" s="92"/>
      <c r="CM71" s="130"/>
      <c r="CR71" s="91"/>
      <c r="CS71" s="92"/>
      <c r="CT71" s="130">
        <f>1178.987/3461.752</f>
        <v>0.34057523473663048</v>
      </c>
      <c r="CV71" s="91"/>
      <c r="CW71" s="92"/>
      <c r="CX71" s="130"/>
      <c r="DB71" s="91"/>
      <c r="DC71" s="92"/>
      <c r="DF71" s="91"/>
      <c r="DG71" s="92"/>
      <c r="DH71" s="85">
        <v>0.153</v>
      </c>
      <c r="DM71" s="91"/>
      <c r="DN71" s="92"/>
      <c r="DO71" s="85">
        <v>0.23</v>
      </c>
      <c r="DT71" s="91"/>
      <c r="DU71" s="92"/>
      <c r="DX71" s="91"/>
      <c r="DY71" s="92"/>
      <c r="DZ71" s="85">
        <f>133040/581036</f>
        <v>0.2289703219766073</v>
      </c>
      <c r="EB71" s="91"/>
      <c r="EC71" s="92"/>
      <c r="ED71" s="130"/>
      <c r="EF71" s="91"/>
      <c r="EG71" s="92"/>
      <c r="EH71" s="130">
        <f>700/5960.894</f>
        <v>0.11743204962208688</v>
      </c>
      <c r="EJ71" s="91"/>
      <c r="EK71" s="92"/>
      <c r="EL71" s="130">
        <f>13145/53068</f>
        <v>0.24770106278736714</v>
      </c>
      <c r="EN71" s="91"/>
      <c r="EO71" s="92"/>
      <c r="EP71" s="130"/>
      <c r="ER71" s="91"/>
      <c r="ES71" s="92"/>
      <c r="ET71" s="130"/>
      <c r="EV71" s="91"/>
      <c r="EW71" s="92"/>
      <c r="EX71" s="130"/>
      <c r="EY71" s="130"/>
      <c r="EZ71" s="91"/>
      <c r="FA71" s="92"/>
      <c r="FB71" s="130"/>
      <c r="FD71" s="91"/>
      <c r="FE71" s="92"/>
      <c r="FF71" s="130">
        <f>61616/258301</f>
        <v>0.23854340478743791</v>
      </c>
      <c r="FH71" s="91"/>
      <c r="FI71" s="92"/>
      <c r="FJ71" s="130"/>
      <c r="FL71" s="91"/>
      <c r="FM71" s="92"/>
      <c r="FN71" s="130"/>
      <c r="FP71" s="91"/>
      <c r="FQ71" s="92"/>
      <c r="FR71" s="130"/>
      <c r="FT71" s="91"/>
      <c r="FU71" s="92"/>
      <c r="FV71" s="130"/>
      <c r="FX71" s="91"/>
      <c r="FY71" s="92"/>
      <c r="FZ71" s="130"/>
      <c r="GB71" s="91"/>
      <c r="GC71" s="92"/>
      <c r="GD71" s="130"/>
      <c r="GF71" s="91"/>
      <c r="GG71" s="92"/>
      <c r="GH71" s="130"/>
      <c r="GJ71" s="91"/>
      <c r="GK71" s="92"/>
      <c r="GL71" s="130"/>
      <c r="GN71" s="91"/>
      <c r="GO71" s="92"/>
      <c r="GP71" s="130"/>
      <c r="GR71" s="91"/>
      <c r="GS71" s="92"/>
      <c r="GT71" s="130"/>
      <c r="GV71" s="91"/>
      <c r="GW71" s="92"/>
      <c r="GX71" s="130" t="s">
        <v>168</v>
      </c>
      <c r="GZ71" s="91"/>
      <c r="HA71" s="92"/>
      <c r="HB71" s="130"/>
      <c r="HD71" s="91"/>
      <c r="HE71" s="92"/>
      <c r="HF71" s="130"/>
      <c r="HG71" s="130"/>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93" customFormat="1" ht="14.25" customHeight="1" x14ac:dyDescent="0.2">
      <c r="B72" s="93" t="s">
        <v>233</v>
      </c>
      <c r="C72" s="132"/>
      <c r="D72" s="133"/>
      <c r="E72" s="102"/>
      <c r="F72" s="102"/>
      <c r="G72" s="102"/>
      <c r="H72" s="102"/>
      <c r="I72" s="102"/>
      <c r="J72" s="101"/>
      <c r="K72" s="102"/>
      <c r="L72" s="35" t="s">
        <v>168</v>
      </c>
      <c r="M72" s="35" t="s">
        <v>168</v>
      </c>
      <c r="N72" s="132"/>
      <c r="O72" s="133"/>
      <c r="P72" s="93" t="s">
        <v>234</v>
      </c>
      <c r="U72" s="101"/>
      <c r="V72" s="102"/>
      <c r="AB72" s="101"/>
      <c r="AC72" s="102"/>
      <c r="AF72" s="101"/>
      <c r="AG72" s="102"/>
      <c r="AH72" s="93" t="s">
        <v>235</v>
      </c>
      <c r="AJ72" s="101"/>
      <c r="AK72" s="102"/>
      <c r="AL72" s="93" t="s">
        <v>235</v>
      </c>
      <c r="AP72" s="101"/>
      <c r="AQ72" s="102"/>
      <c r="AT72" s="93" t="s">
        <v>235</v>
      </c>
      <c r="AW72" s="101"/>
      <c r="AX72" s="102"/>
      <c r="BA72" s="101"/>
      <c r="BB72" s="102"/>
      <c r="BC72" s="102"/>
      <c r="BD72" s="102"/>
      <c r="BE72" s="101"/>
      <c r="BF72" s="102"/>
      <c r="BG72" s="102"/>
      <c r="BH72" s="102"/>
      <c r="BI72" s="102"/>
      <c r="BJ72" s="102"/>
      <c r="BK72" s="102"/>
      <c r="BL72" s="101"/>
      <c r="BM72" s="102"/>
      <c r="BN72" s="102"/>
      <c r="BO72" s="102"/>
      <c r="BP72" s="102"/>
      <c r="BQ72" s="102"/>
      <c r="BR72" s="102"/>
      <c r="BS72" s="101"/>
      <c r="BT72" s="102"/>
      <c r="BU72" s="102"/>
      <c r="BV72" s="102"/>
      <c r="BW72" s="101"/>
      <c r="BX72" s="102"/>
      <c r="CA72" s="101"/>
      <c r="CB72" s="102"/>
      <c r="CC72" s="93" t="s">
        <v>236</v>
      </c>
      <c r="CG72" s="101"/>
      <c r="CH72" s="102"/>
      <c r="CK72" s="101"/>
      <c r="CL72" s="102"/>
      <c r="CM72" s="93" t="s">
        <v>237</v>
      </c>
      <c r="CR72" s="101"/>
      <c r="CS72" s="102"/>
      <c r="CV72" s="101"/>
      <c r="CW72" s="102"/>
      <c r="DB72" s="101"/>
      <c r="DC72" s="102"/>
      <c r="DD72" s="93" t="s">
        <v>238</v>
      </c>
      <c r="DF72" s="101"/>
      <c r="DG72" s="102"/>
      <c r="DM72" s="101"/>
      <c r="DN72" s="102"/>
      <c r="DT72" s="101"/>
      <c r="DU72" s="102"/>
      <c r="DV72" s="93" t="s">
        <v>239</v>
      </c>
      <c r="DX72" s="101"/>
      <c r="DY72" s="102"/>
      <c r="EB72" s="101"/>
      <c r="EC72" s="102"/>
      <c r="EF72" s="101"/>
      <c r="EG72" s="102"/>
      <c r="EH72" s="93" t="s">
        <v>240</v>
      </c>
      <c r="EJ72" s="101"/>
      <c r="EK72" s="102"/>
      <c r="EL72" s="93" t="s">
        <v>237</v>
      </c>
      <c r="EN72" s="101"/>
      <c r="EO72" s="102"/>
      <c r="EQ72" s="93" t="s">
        <v>239</v>
      </c>
      <c r="ER72" s="101"/>
      <c r="ES72" s="102"/>
      <c r="EV72" s="101"/>
      <c r="EW72" s="102"/>
      <c r="EZ72" s="101"/>
      <c r="FA72" s="102"/>
      <c r="FD72" s="101"/>
      <c r="FE72" s="102"/>
      <c r="FH72" s="101"/>
      <c r="FI72" s="102"/>
      <c r="FL72" s="101"/>
      <c r="FM72" s="102"/>
      <c r="FP72" s="101"/>
      <c r="FQ72" s="102"/>
      <c r="FT72" s="101"/>
      <c r="FU72" s="102"/>
      <c r="FX72" s="101"/>
      <c r="FY72" s="102"/>
      <c r="GB72" s="101"/>
      <c r="GC72" s="102"/>
      <c r="GF72" s="101"/>
      <c r="GG72" s="102"/>
      <c r="GJ72" s="101"/>
      <c r="GK72" s="102"/>
      <c r="GN72" s="101"/>
      <c r="GO72" s="102"/>
      <c r="GR72" s="101"/>
      <c r="GS72" s="102"/>
      <c r="GV72" s="101"/>
      <c r="GW72" s="102"/>
      <c r="GZ72" s="101"/>
      <c r="HA72" s="102"/>
      <c r="HD72" s="101"/>
      <c r="HE72" s="10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85" customFormat="1" ht="14.25" customHeight="1" x14ac:dyDescent="0.2">
      <c r="C73" s="125"/>
      <c r="D73" s="126"/>
      <c r="E73" s="92"/>
      <c r="F73" s="92"/>
      <c r="G73" s="92"/>
      <c r="H73" s="92"/>
      <c r="I73" s="92"/>
      <c r="J73" s="91"/>
      <c r="K73" s="92"/>
      <c r="L73" s="35" t="s">
        <v>168</v>
      </c>
      <c r="M73" s="35" t="s">
        <v>168</v>
      </c>
      <c r="N73" s="125"/>
      <c r="O73" s="126"/>
      <c r="U73" s="91"/>
      <c r="V73" s="92"/>
      <c r="AB73" s="91"/>
      <c r="AC73" s="92"/>
      <c r="AF73" s="91"/>
      <c r="AG73" s="92"/>
      <c r="AH73" s="85">
        <v>0.42</v>
      </c>
      <c r="AJ73" s="91"/>
      <c r="AK73" s="92"/>
      <c r="AL73" s="85">
        <v>0.62</v>
      </c>
      <c r="AP73" s="91"/>
      <c r="AQ73" s="92"/>
      <c r="AT73" s="85">
        <v>0.57999999999999996</v>
      </c>
      <c r="AW73" s="91"/>
      <c r="AX73" s="92"/>
      <c r="BA73" s="91"/>
      <c r="BB73" s="92"/>
      <c r="BC73" s="92"/>
      <c r="BD73" s="92"/>
      <c r="BE73" s="91"/>
      <c r="BF73" s="92"/>
      <c r="BG73" s="92"/>
      <c r="BH73" s="92"/>
      <c r="BI73" s="92"/>
      <c r="BJ73" s="92"/>
      <c r="BK73" s="92"/>
      <c r="BL73" s="91"/>
      <c r="BM73" s="92"/>
      <c r="BN73" s="92"/>
      <c r="BO73" s="92"/>
      <c r="BP73" s="92"/>
      <c r="BQ73" s="92"/>
      <c r="BR73" s="92"/>
      <c r="BS73" s="91"/>
      <c r="BT73" s="92"/>
      <c r="BU73" s="92"/>
      <c r="BV73" s="92"/>
      <c r="BW73" s="91"/>
      <c r="BX73" s="92"/>
      <c r="CA73" s="91"/>
      <c r="CB73" s="92"/>
      <c r="CG73" s="91"/>
      <c r="CH73" s="92"/>
      <c r="CK73" s="91"/>
      <c r="CL73" s="92"/>
      <c r="CM73" s="85">
        <v>0.7</v>
      </c>
      <c r="CR73" s="91"/>
      <c r="CS73" s="92"/>
      <c r="CV73" s="91"/>
      <c r="CW73" s="92"/>
      <c r="DB73" s="91"/>
      <c r="DC73" s="92"/>
      <c r="DF73" s="91"/>
      <c r="DG73" s="92"/>
      <c r="DM73" s="91"/>
      <c r="DN73" s="92"/>
      <c r="DT73" s="91"/>
      <c r="DU73" s="92"/>
      <c r="DX73" s="91"/>
      <c r="DY73" s="92"/>
      <c r="EB73" s="91"/>
      <c r="EC73" s="92"/>
      <c r="EF73" s="91"/>
      <c r="EG73" s="92"/>
      <c r="EJ73" s="91"/>
      <c r="EK73" s="92"/>
      <c r="EN73" s="91"/>
      <c r="EO73" s="92"/>
      <c r="ER73" s="91"/>
      <c r="ES73" s="92"/>
      <c r="EV73" s="91"/>
      <c r="EW73" s="92"/>
      <c r="EZ73" s="91"/>
      <c r="FA73" s="92"/>
      <c r="FD73" s="91"/>
      <c r="FE73" s="92"/>
      <c r="FH73" s="91"/>
      <c r="FI73" s="92"/>
      <c r="FL73" s="91"/>
      <c r="FM73" s="92"/>
      <c r="FP73" s="91"/>
      <c r="FQ73" s="92"/>
      <c r="FT73" s="91"/>
      <c r="FU73" s="92"/>
      <c r="FX73" s="91"/>
      <c r="FY73" s="92"/>
      <c r="GB73" s="91"/>
      <c r="GC73" s="92"/>
      <c r="GF73" s="91"/>
      <c r="GG73" s="92"/>
      <c r="GJ73" s="91"/>
      <c r="GK73" s="92"/>
      <c r="GN73" s="91"/>
      <c r="GO73" s="92"/>
      <c r="GR73" s="91"/>
      <c r="GS73" s="92"/>
      <c r="GV73" s="91"/>
      <c r="GW73" s="92"/>
      <c r="GZ73" s="91"/>
      <c r="HA73" s="92"/>
      <c r="HD73" s="91"/>
      <c r="HE73" s="9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85" customFormat="1" ht="14.25" customHeight="1" x14ac:dyDescent="0.2">
      <c r="C74" s="125"/>
      <c r="D74" s="126"/>
      <c r="E74" s="92"/>
      <c r="F74" s="92"/>
      <c r="G74" s="92"/>
      <c r="H74" s="92"/>
      <c r="I74" s="92"/>
      <c r="J74" s="91"/>
      <c r="K74" s="92"/>
      <c r="N74" s="125"/>
      <c r="O74" s="126"/>
      <c r="U74" s="91"/>
      <c r="V74" s="92"/>
      <c r="AB74" s="91"/>
      <c r="AC74" s="92"/>
      <c r="AF74" s="91"/>
      <c r="AG74" s="92"/>
      <c r="AJ74" s="91"/>
      <c r="AK74" s="92"/>
      <c r="AP74" s="91"/>
      <c r="AQ74" s="92"/>
      <c r="AW74" s="91"/>
      <c r="AX74" s="92"/>
      <c r="BA74" s="91"/>
      <c r="BB74" s="92"/>
      <c r="BC74" s="92"/>
      <c r="BD74" s="92"/>
      <c r="BE74" s="91"/>
      <c r="BF74" s="92"/>
      <c r="BG74" s="92"/>
      <c r="BH74" s="92"/>
      <c r="BI74" s="92"/>
      <c r="BJ74" s="92"/>
      <c r="BK74" s="92"/>
      <c r="BL74" s="91"/>
      <c r="BM74" s="92"/>
      <c r="BN74" s="92"/>
      <c r="BO74" s="92"/>
      <c r="BP74" s="92"/>
      <c r="BQ74" s="92"/>
      <c r="BR74" s="92"/>
      <c r="BS74" s="91"/>
      <c r="BT74" s="92"/>
      <c r="BU74" s="92"/>
      <c r="BV74" s="92"/>
      <c r="BW74" s="91"/>
      <c r="BX74" s="92"/>
      <c r="CA74" s="91"/>
      <c r="CB74" s="92"/>
      <c r="CG74" s="91"/>
      <c r="CH74" s="92"/>
      <c r="CK74" s="91"/>
      <c r="CL74" s="92"/>
      <c r="CR74" s="91"/>
      <c r="CS74" s="92"/>
      <c r="CV74" s="91"/>
      <c r="CW74" s="92"/>
      <c r="DB74" s="91"/>
      <c r="DC74" s="92"/>
      <c r="DF74" s="91"/>
      <c r="DG74" s="92"/>
      <c r="DM74" s="91"/>
      <c r="DN74" s="92"/>
      <c r="DT74" s="91"/>
      <c r="DU74" s="92"/>
      <c r="DX74" s="91"/>
      <c r="DY74" s="92"/>
      <c r="EB74" s="91"/>
      <c r="EC74" s="92"/>
      <c r="EF74" s="91"/>
      <c r="EG74" s="92"/>
      <c r="EJ74" s="91"/>
      <c r="EK74" s="92"/>
      <c r="EN74" s="91"/>
      <c r="EO74" s="92"/>
      <c r="ER74" s="91"/>
      <c r="ES74" s="92"/>
      <c r="EV74" s="91"/>
      <c r="EW74" s="92"/>
      <c r="EZ74" s="91"/>
      <c r="FA74" s="92"/>
      <c r="FD74" s="91"/>
      <c r="FE74" s="92"/>
      <c r="FH74" s="91"/>
      <c r="FI74" s="92"/>
      <c r="FL74" s="91"/>
      <c r="FM74" s="92"/>
      <c r="FP74" s="91"/>
      <c r="FQ74" s="92"/>
      <c r="FT74" s="91"/>
      <c r="FU74" s="92"/>
      <c r="FX74" s="91"/>
      <c r="FY74" s="92"/>
      <c r="GB74" s="91"/>
      <c r="GC74" s="92"/>
      <c r="GF74" s="91"/>
      <c r="GG74" s="92"/>
      <c r="GJ74" s="91"/>
      <c r="GK74" s="92"/>
      <c r="GN74" s="91"/>
      <c r="GO74" s="92"/>
      <c r="GR74" s="91"/>
      <c r="GS74" s="92"/>
      <c r="GV74" s="91"/>
      <c r="GW74" s="92"/>
      <c r="GZ74" s="91"/>
      <c r="HA74" s="92"/>
      <c r="HD74" s="91"/>
      <c r="HE74" s="9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135" customFormat="1" ht="14.25" customHeight="1" x14ac:dyDescent="0.2">
      <c r="A75" s="134" t="s">
        <v>241</v>
      </c>
      <c r="C75" s="136"/>
      <c r="D75" s="137"/>
      <c r="E75" s="138"/>
      <c r="F75" s="138"/>
      <c r="G75" s="138"/>
      <c r="H75" s="138"/>
      <c r="I75" s="138"/>
      <c r="J75" s="139"/>
      <c r="K75" s="138"/>
      <c r="L75" s="140"/>
      <c r="N75" s="136"/>
      <c r="O75" s="137"/>
      <c r="U75" s="139"/>
      <c r="V75" s="138"/>
      <c r="W75" s="135" t="s">
        <v>242</v>
      </c>
      <c r="AB75" s="139"/>
      <c r="AC75" s="138"/>
      <c r="AF75" s="139"/>
      <c r="AG75" s="138"/>
      <c r="AH75" s="140"/>
      <c r="AJ75" s="139"/>
      <c r="AK75" s="138"/>
      <c r="AP75" s="139"/>
      <c r="AQ75" s="138"/>
      <c r="AR75" s="140"/>
      <c r="AT75" s="140"/>
      <c r="AW75" s="139"/>
      <c r="AX75" s="138"/>
      <c r="AY75" s="140" t="s">
        <v>243</v>
      </c>
      <c r="BA75" s="139"/>
      <c r="BB75" s="138"/>
      <c r="BC75" s="138" t="s">
        <v>244</v>
      </c>
      <c r="BD75" s="138"/>
      <c r="BE75" s="139"/>
      <c r="BF75" s="138"/>
      <c r="BG75" s="138" t="s">
        <v>245</v>
      </c>
      <c r="BH75" s="138"/>
      <c r="BI75" s="138"/>
      <c r="BJ75" s="138"/>
      <c r="BK75" s="138"/>
      <c r="BL75" s="139"/>
      <c r="BM75" s="138"/>
      <c r="BN75" s="138"/>
      <c r="BO75" s="138"/>
      <c r="BP75" s="138"/>
      <c r="BQ75" s="138"/>
      <c r="BR75" s="138"/>
      <c r="BS75" s="139"/>
      <c r="BT75" s="141"/>
      <c r="BU75" s="141" t="s">
        <v>246</v>
      </c>
      <c r="BV75" s="138"/>
      <c r="BW75" s="139"/>
      <c r="BX75" s="138"/>
      <c r="CA75" s="139"/>
      <c r="CB75" s="138"/>
      <c r="CG75" s="139"/>
      <c r="CH75" s="138"/>
      <c r="CI75" s="140" t="s">
        <v>247</v>
      </c>
      <c r="CK75" s="139"/>
      <c r="CL75" s="138"/>
      <c r="CM75" s="140"/>
      <c r="CR75" s="139"/>
      <c r="CS75" s="138"/>
      <c r="CT75" s="140"/>
      <c r="CV75" s="139"/>
      <c r="CW75" s="138"/>
      <c r="CX75" s="140" t="s">
        <v>248</v>
      </c>
      <c r="DB75" s="139"/>
      <c r="DC75" s="138"/>
      <c r="DF75" s="139"/>
      <c r="DG75" s="138"/>
      <c r="DM75" s="139"/>
      <c r="DN75" s="138"/>
      <c r="DT75" s="139"/>
      <c r="DU75" s="138"/>
      <c r="DX75" s="139"/>
      <c r="DY75" s="138"/>
      <c r="DZ75" s="135" t="s">
        <v>249</v>
      </c>
      <c r="EB75" s="139"/>
      <c r="EC75" s="138"/>
      <c r="ED75" s="140"/>
      <c r="EF75" s="139"/>
      <c r="EG75" s="138"/>
      <c r="EH75" s="140"/>
      <c r="EJ75" s="139"/>
      <c r="EK75" s="138"/>
      <c r="EL75" s="140" t="s">
        <v>250</v>
      </c>
      <c r="EN75" s="139"/>
      <c r="EO75" s="138"/>
      <c r="EP75" s="140"/>
      <c r="ER75" s="139"/>
      <c r="ES75" s="138"/>
      <c r="ET75" s="140"/>
      <c r="EV75" s="139"/>
      <c r="EW75" s="138"/>
      <c r="EX75" s="140"/>
      <c r="EY75" s="140"/>
      <c r="EZ75" s="139"/>
      <c r="FA75" s="138"/>
      <c r="FB75" s="140"/>
      <c r="FD75" s="139"/>
      <c r="FE75" s="138"/>
      <c r="FF75" s="140" t="s">
        <v>251</v>
      </c>
      <c r="FH75" s="139"/>
      <c r="FI75" s="138"/>
      <c r="FJ75" s="140"/>
      <c r="FL75" s="139"/>
      <c r="FM75" s="138"/>
      <c r="FN75" s="140"/>
      <c r="FP75" s="139"/>
      <c r="FQ75" s="138"/>
      <c r="FR75" s="140" t="s">
        <v>252</v>
      </c>
      <c r="FT75" s="139"/>
      <c r="FU75" s="138"/>
      <c r="FV75" s="140" t="s">
        <v>253</v>
      </c>
      <c r="FX75" s="139"/>
      <c r="FY75" s="138"/>
      <c r="FZ75" s="140" t="s">
        <v>254</v>
      </c>
      <c r="GB75" s="139"/>
      <c r="GC75" s="138"/>
      <c r="GD75" s="140" t="s">
        <v>255</v>
      </c>
      <c r="GF75" s="139"/>
      <c r="GG75" s="138"/>
      <c r="GH75" s="140" t="s">
        <v>256</v>
      </c>
      <c r="GJ75" s="139"/>
      <c r="GK75" s="138"/>
      <c r="GL75" s="140"/>
      <c r="GN75" s="139"/>
      <c r="GO75" s="138"/>
      <c r="GP75" s="140" t="s">
        <v>257</v>
      </c>
      <c r="GR75" s="139"/>
      <c r="GS75" s="138"/>
      <c r="GT75" s="140" t="s">
        <v>258</v>
      </c>
      <c r="GV75" s="139"/>
      <c r="GW75" s="138"/>
      <c r="GX75" s="140"/>
      <c r="GZ75" s="139"/>
      <c r="HA75" s="138"/>
      <c r="HB75" s="140" t="s">
        <v>259</v>
      </c>
      <c r="HD75" s="139"/>
      <c r="HE75" s="138"/>
      <c r="HF75" s="140"/>
      <c r="HG75" s="140"/>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93" customFormat="1" ht="14.25" customHeight="1" x14ac:dyDescent="0.2">
      <c r="B76" s="93" t="s">
        <v>260</v>
      </c>
      <c r="C76" s="132"/>
      <c r="D76" s="133"/>
      <c r="E76" s="102"/>
      <c r="F76" s="102"/>
      <c r="G76" s="102"/>
      <c r="H76" s="102"/>
      <c r="I76" s="102"/>
      <c r="J76" s="101"/>
      <c r="K76" s="102"/>
      <c r="N76" s="132"/>
      <c r="O76" s="133"/>
      <c r="U76" s="101"/>
      <c r="V76" s="102"/>
      <c r="AB76" s="101"/>
      <c r="AC76" s="102"/>
      <c r="AF76" s="101"/>
      <c r="AG76" s="102"/>
      <c r="AJ76" s="101"/>
      <c r="AK76" s="102"/>
      <c r="AL76" s="93" t="s">
        <v>261</v>
      </c>
      <c r="AP76" s="101"/>
      <c r="AQ76" s="102"/>
      <c r="AW76" s="101"/>
      <c r="AX76" s="102"/>
      <c r="BA76" s="101"/>
      <c r="BB76" s="102"/>
      <c r="BC76" s="102" t="s">
        <v>262</v>
      </c>
      <c r="BD76" s="102"/>
      <c r="BE76" s="101"/>
      <c r="BF76" s="102"/>
      <c r="BG76" s="102"/>
      <c r="BH76" s="102"/>
      <c r="BI76" s="102"/>
      <c r="BJ76" s="102"/>
      <c r="BK76" s="102"/>
      <c r="BL76" s="101"/>
      <c r="BM76" s="102"/>
      <c r="BN76" s="102"/>
      <c r="BO76" s="102"/>
      <c r="BP76" s="102"/>
      <c r="BQ76" s="102"/>
      <c r="BR76" s="102"/>
      <c r="BS76" s="101"/>
      <c r="BT76" s="102"/>
      <c r="BU76" s="102"/>
      <c r="BV76" s="102"/>
      <c r="BW76" s="101"/>
      <c r="BX76" s="102"/>
      <c r="CA76" s="101"/>
      <c r="CB76" s="102"/>
      <c r="CG76" s="101"/>
      <c r="CH76" s="102"/>
      <c r="CI76" s="93" t="s">
        <v>263</v>
      </c>
      <c r="CK76" s="101"/>
      <c r="CL76" s="102"/>
      <c r="CR76" s="101"/>
      <c r="CS76" s="102"/>
      <c r="CV76" s="101"/>
      <c r="CW76" s="102"/>
      <c r="DB76" s="101"/>
      <c r="DC76" s="102"/>
      <c r="DF76" s="101"/>
      <c r="DG76" s="102"/>
      <c r="DM76" s="101"/>
      <c r="DN76" s="102"/>
      <c r="DT76" s="101"/>
      <c r="DU76" s="102"/>
      <c r="DX76" s="101"/>
      <c r="DY76" s="102"/>
      <c r="EB76" s="101"/>
      <c r="EC76" s="102"/>
      <c r="EF76" s="101"/>
      <c r="EG76" s="102"/>
      <c r="EJ76" s="101"/>
      <c r="EK76" s="102"/>
      <c r="EN76" s="101"/>
      <c r="EO76" s="102"/>
      <c r="ER76" s="101"/>
      <c r="ES76" s="102"/>
      <c r="EV76" s="101"/>
      <c r="EW76" s="102"/>
      <c r="EZ76" s="101"/>
      <c r="FA76" s="102"/>
      <c r="FD76" s="101"/>
      <c r="FE76" s="102"/>
      <c r="FH76" s="101"/>
      <c r="FI76" s="102"/>
      <c r="FL76" s="101"/>
      <c r="FM76" s="102"/>
      <c r="FP76" s="101"/>
      <c r="FQ76" s="102"/>
      <c r="FT76" s="101"/>
      <c r="FU76" s="102"/>
      <c r="FX76" s="101"/>
      <c r="FY76" s="102"/>
      <c r="GB76" s="101"/>
      <c r="GC76" s="102"/>
      <c r="GF76" s="101"/>
      <c r="GG76" s="102"/>
      <c r="GJ76" s="101"/>
      <c r="GK76" s="102"/>
      <c r="GN76" s="101"/>
      <c r="GO76" s="102"/>
      <c r="GP76" s="93" t="s">
        <v>264</v>
      </c>
      <c r="GR76" s="101"/>
      <c r="GS76" s="102"/>
      <c r="GV76" s="101"/>
      <c r="GW76" s="102"/>
      <c r="GZ76" s="101"/>
      <c r="HA76" s="102"/>
      <c r="HD76" s="101"/>
      <c r="HE76" s="10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93" customFormat="1" ht="14.25" customHeight="1" x14ac:dyDescent="0.2">
      <c r="A77" s="142"/>
      <c r="B77" s="93" t="s">
        <v>265</v>
      </c>
      <c r="C77" s="132"/>
      <c r="D77" s="133"/>
      <c r="E77" s="102"/>
      <c r="F77" s="102"/>
      <c r="G77" s="102"/>
      <c r="H77" s="102"/>
      <c r="I77" s="102"/>
      <c r="J77" s="101"/>
      <c r="K77" s="102"/>
      <c r="N77" s="132"/>
      <c r="O77" s="133"/>
      <c r="U77" s="101"/>
      <c r="V77" s="102"/>
      <c r="AB77" s="101"/>
      <c r="AC77" s="102"/>
      <c r="AF77" s="101"/>
      <c r="AG77" s="102"/>
      <c r="AJ77" s="101"/>
      <c r="AK77" s="102"/>
      <c r="AL77" s="93" t="s">
        <v>266</v>
      </c>
      <c r="AP77" s="101"/>
      <c r="AQ77" s="102"/>
      <c r="AW77" s="101"/>
      <c r="AX77" s="102"/>
      <c r="BA77" s="101"/>
      <c r="BB77" s="102"/>
      <c r="BC77" s="102"/>
      <c r="BD77" s="102"/>
      <c r="BE77" s="101"/>
      <c r="BF77" s="102"/>
      <c r="BG77" s="102"/>
      <c r="BH77" s="102"/>
      <c r="BI77" s="102"/>
      <c r="BJ77" s="102"/>
      <c r="BK77" s="102"/>
      <c r="BL77" s="101"/>
      <c r="BM77" s="102"/>
      <c r="BN77" s="102"/>
      <c r="BO77" s="102"/>
      <c r="BP77" s="102"/>
      <c r="BQ77" s="102"/>
      <c r="BR77" s="102"/>
      <c r="BS77" s="101"/>
      <c r="BT77" s="102"/>
      <c r="BU77" s="102"/>
      <c r="BV77" s="102"/>
      <c r="BW77" s="101"/>
      <c r="BX77" s="102"/>
      <c r="CA77" s="101"/>
      <c r="CB77" s="102"/>
      <c r="CG77" s="101"/>
      <c r="CH77" s="102"/>
      <c r="CK77" s="101"/>
      <c r="CL77" s="102"/>
      <c r="CR77" s="101"/>
      <c r="CS77" s="102"/>
      <c r="CV77" s="101"/>
      <c r="CW77" s="102"/>
      <c r="DB77" s="101"/>
      <c r="DC77" s="102"/>
      <c r="DF77" s="101"/>
      <c r="DG77" s="102"/>
      <c r="DM77" s="101"/>
      <c r="DN77" s="102"/>
      <c r="DT77" s="101"/>
      <c r="DU77" s="102"/>
      <c r="DX77" s="101"/>
      <c r="DY77" s="102"/>
      <c r="EB77" s="101"/>
      <c r="EC77" s="102"/>
      <c r="EF77" s="101"/>
      <c r="EG77" s="102"/>
      <c r="EJ77" s="101"/>
      <c r="EK77" s="102"/>
      <c r="EN77" s="101"/>
      <c r="EO77" s="102"/>
      <c r="ER77" s="101"/>
      <c r="ES77" s="102"/>
      <c r="EV77" s="101"/>
      <c r="EW77" s="102"/>
      <c r="EZ77" s="101"/>
      <c r="FA77" s="102"/>
      <c r="FD77" s="101"/>
      <c r="FE77" s="102"/>
      <c r="FH77" s="101"/>
      <c r="FI77" s="102"/>
      <c r="FL77" s="101"/>
      <c r="FM77" s="102"/>
      <c r="FP77" s="101"/>
      <c r="FQ77" s="102"/>
      <c r="FT77" s="101"/>
      <c r="FU77" s="102"/>
      <c r="FX77" s="101"/>
      <c r="FY77" s="102"/>
      <c r="GB77" s="101"/>
      <c r="GC77" s="102"/>
      <c r="GF77" s="101"/>
      <c r="GG77" s="102"/>
      <c r="GJ77" s="101"/>
      <c r="GK77" s="102"/>
      <c r="GN77" s="101"/>
      <c r="GO77" s="102"/>
      <c r="GR77" s="101"/>
      <c r="GS77" s="102"/>
      <c r="GV77" s="101"/>
      <c r="GW77" s="102"/>
      <c r="GZ77" s="101"/>
      <c r="HA77" s="102"/>
      <c r="HD77" s="101"/>
      <c r="HE77" s="10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85" customFormat="1" ht="14.25" customHeight="1" x14ac:dyDescent="0.25">
      <c r="A78" s="143"/>
      <c r="C78" s="125"/>
      <c r="D78" s="126"/>
      <c r="E78" s="92"/>
      <c r="F78" s="92"/>
      <c r="G78" s="92"/>
      <c r="H78" s="92"/>
      <c r="I78" s="92"/>
      <c r="J78" s="91"/>
      <c r="K78" s="92"/>
      <c r="N78" s="125"/>
      <c r="O78" s="126"/>
      <c r="U78" s="91"/>
      <c r="V78" s="92"/>
      <c r="AB78" s="91"/>
      <c r="AC78" s="92"/>
      <c r="AF78" s="91"/>
      <c r="AG78" s="92"/>
      <c r="AJ78" s="91"/>
      <c r="AK78" s="92"/>
      <c r="AP78" s="91"/>
      <c r="AQ78" s="92"/>
      <c r="AW78" s="91"/>
      <c r="AX78" s="92"/>
      <c r="BA78" s="91"/>
      <c r="BB78" s="92"/>
      <c r="BC78" s="92"/>
      <c r="BD78" s="92"/>
      <c r="BE78" s="91"/>
      <c r="BF78" s="92"/>
      <c r="BG78" s="92"/>
      <c r="BH78" s="92"/>
      <c r="BI78" s="92"/>
      <c r="BJ78" s="92"/>
      <c r="BK78" s="92"/>
      <c r="BL78" s="91"/>
      <c r="BM78" s="92"/>
      <c r="BN78" s="92"/>
      <c r="BO78" s="92"/>
      <c r="BP78" s="92"/>
      <c r="BQ78" s="92"/>
      <c r="BR78" s="92"/>
      <c r="BS78" s="91"/>
      <c r="BT78" s="92"/>
      <c r="BU78" s="92"/>
      <c r="BV78" s="92"/>
      <c r="BW78" s="91"/>
      <c r="BX78" s="92"/>
      <c r="CA78" s="91"/>
      <c r="CB78" s="92"/>
      <c r="CG78" s="91"/>
      <c r="CH78" s="92"/>
      <c r="CK78" s="91"/>
      <c r="CL78" s="92"/>
      <c r="CR78" s="91"/>
      <c r="CS78" s="92"/>
      <c r="CV78" s="91"/>
      <c r="CW78" s="92"/>
      <c r="DB78" s="91"/>
      <c r="DC78" s="92"/>
      <c r="DF78" s="91"/>
      <c r="DG78" s="92"/>
      <c r="DM78" s="91"/>
      <c r="DN78" s="92"/>
      <c r="DT78" s="91"/>
      <c r="DU78" s="92"/>
      <c r="DX78" s="91"/>
      <c r="DY78" s="92"/>
      <c r="EB78" s="91"/>
      <c r="EC78" s="92"/>
      <c r="EF78" s="91"/>
      <c r="EG78" s="92"/>
      <c r="EJ78" s="91"/>
      <c r="EK78" s="92"/>
      <c r="EN78" s="91"/>
      <c r="EO78" s="92"/>
      <c r="ER78" s="91"/>
      <c r="ES78" s="92"/>
      <c r="EV78" s="91"/>
      <c r="EW78" s="92"/>
      <c r="EZ78" s="91"/>
      <c r="FA78" s="92"/>
      <c r="FD78" s="91"/>
      <c r="FE78" s="92"/>
      <c r="FH78" s="91"/>
      <c r="FI78" s="92"/>
      <c r="FL78" s="91"/>
      <c r="FM78" s="92"/>
      <c r="FP78" s="91"/>
      <c r="FQ78" s="92"/>
      <c r="FT78" s="91"/>
      <c r="FU78" s="92"/>
      <c r="FX78" s="91"/>
      <c r="FY78" s="92"/>
      <c r="GB78" s="91"/>
      <c r="GC78" s="92"/>
      <c r="GF78" s="91"/>
      <c r="GG78" s="92"/>
      <c r="GJ78" s="91"/>
      <c r="GK78" s="92"/>
      <c r="GN78" s="91"/>
      <c r="GO78" s="92"/>
      <c r="GR78" s="91"/>
      <c r="GS78" s="92"/>
      <c r="GV78" s="91"/>
      <c r="GW78" s="92"/>
      <c r="GZ78" s="91"/>
      <c r="HA78" s="92"/>
      <c r="HD78" s="91"/>
      <c r="HE78" s="9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x14ac:dyDescent="0.2">
      <c r="A79" s="74" t="s">
        <v>267</v>
      </c>
      <c r="B79" s="144"/>
      <c r="C79" s="106"/>
      <c r="D79" s="107"/>
      <c r="F79" s="110"/>
      <c r="G79" s="110"/>
      <c r="H79" s="110"/>
      <c r="I79" s="110"/>
      <c r="J79" s="114"/>
      <c r="K79" s="108"/>
      <c r="L79" s="8"/>
      <c r="M79" s="120"/>
      <c r="N79" s="106"/>
      <c r="O79" s="107"/>
      <c r="P79" s="8"/>
      <c r="Q79" s="120"/>
      <c r="R79" s="120"/>
      <c r="S79" s="120"/>
      <c r="T79" s="120"/>
      <c r="U79" s="114"/>
      <c r="V79" s="108"/>
      <c r="W79" s="8"/>
      <c r="X79" s="120"/>
      <c r="Y79" s="120"/>
      <c r="Z79" s="120"/>
      <c r="AA79" s="120"/>
      <c r="AB79" s="114"/>
      <c r="AC79" s="108"/>
      <c r="AD79" s="8"/>
      <c r="AE79" s="120"/>
      <c r="AF79" s="114"/>
      <c r="AG79" s="108"/>
      <c r="AH79" s="8"/>
      <c r="AI79" s="120"/>
      <c r="AJ79" s="114"/>
      <c r="AK79" s="108"/>
      <c r="AL79" s="8"/>
      <c r="AM79" s="120"/>
      <c r="AN79" s="120"/>
      <c r="AO79" s="120"/>
      <c r="AP79" s="114"/>
      <c r="AQ79" s="108"/>
      <c r="AR79" s="8"/>
      <c r="AS79" s="8"/>
      <c r="AT79" s="8"/>
      <c r="AU79" s="120"/>
      <c r="AV79" s="120"/>
      <c r="AW79" s="114"/>
      <c r="AX79" s="108"/>
      <c r="AY79" s="8"/>
      <c r="AZ79" s="120"/>
      <c r="BA79" s="119"/>
      <c r="BB79" s="26"/>
      <c r="BD79" s="110"/>
      <c r="BE79" s="119"/>
      <c r="BF79" s="26"/>
      <c r="BH79" s="110"/>
      <c r="BI79" s="110"/>
      <c r="BJ79" s="110"/>
      <c r="BK79" s="110"/>
      <c r="BL79" s="119"/>
      <c r="BM79" s="26"/>
      <c r="BO79" s="110"/>
      <c r="BP79" s="110"/>
      <c r="BQ79" s="110"/>
      <c r="BR79" s="110"/>
      <c r="BS79" s="114"/>
      <c r="BV79" s="110"/>
      <c r="BY79" s="8"/>
      <c r="BZ79" s="120"/>
      <c r="CA79" s="109"/>
      <c r="CB79" s="110"/>
      <c r="CC79" s="8"/>
      <c r="CD79" s="120"/>
      <c r="CE79" s="120"/>
      <c r="CF79" s="120"/>
      <c r="CG79" s="114"/>
      <c r="CH79" s="108"/>
      <c r="CI79" s="8"/>
      <c r="CJ79" s="120"/>
      <c r="CK79" s="114"/>
      <c r="CL79" s="108"/>
      <c r="CM79" s="8"/>
      <c r="CN79" s="120"/>
      <c r="CO79" s="120"/>
      <c r="CP79" s="120"/>
      <c r="CQ79" s="120"/>
      <c r="CR79" s="114"/>
      <c r="CS79" s="108"/>
      <c r="CT79" s="8"/>
      <c r="CU79" s="120"/>
      <c r="CV79" s="114"/>
      <c r="CW79" s="108"/>
      <c r="CX79" s="8"/>
      <c r="CY79" s="120"/>
      <c r="CZ79" s="120"/>
      <c r="DA79" s="120"/>
      <c r="DB79" s="114"/>
      <c r="DC79" s="108"/>
      <c r="DD79" s="8"/>
      <c r="DE79" s="120"/>
      <c r="DF79" s="114"/>
      <c r="DG79" s="108"/>
      <c r="DH79" s="8"/>
      <c r="DI79" s="120"/>
      <c r="DJ79" s="120"/>
      <c r="DK79" s="120"/>
      <c r="DL79" s="120"/>
      <c r="DO79" s="8"/>
      <c r="DP79" s="120"/>
      <c r="DQ79" s="120"/>
      <c r="DR79" s="120"/>
      <c r="DS79" s="120"/>
      <c r="DT79" s="114"/>
      <c r="DU79" s="108"/>
      <c r="DV79" s="8"/>
      <c r="DW79" s="120"/>
      <c r="DX79" s="114"/>
      <c r="DY79" s="108"/>
      <c r="DZ79" s="8"/>
      <c r="EA79" s="120"/>
      <c r="ED79" s="8"/>
      <c r="EE79" s="120"/>
      <c r="EH79" s="8"/>
      <c r="EI79" s="120"/>
      <c r="EL79" s="8"/>
      <c r="EM79" s="120"/>
      <c r="EP79" s="8"/>
      <c r="EQ79" s="120"/>
      <c r="ET79" s="8"/>
      <c r="EU79" s="120"/>
      <c r="EX79" s="8"/>
      <c r="EY79" s="120"/>
      <c r="FB79" s="8"/>
      <c r="FC79" s="120"/>
      <c r="FF79" s="8"/>
      <c r="FG79" s="120"/>
      <c r="FJ79" s="8"/>
      <c r="FK79" s="120"/>
      <c r="FN79" s="8"/>
      <c r="FO79" s="120"/>
      <c r="FR79" s="8"/>
      <c r="FS79" s="120"/>
      <c r="FV79" s="8"/>
      <c r="FW79" s="120"/>
      <c r="FZ79" s="8"/>
      <c r="GA79" s="120"/>
      <c r="GD79" s="8"/>
      <c r="GE79" s="120"/>
      <c r="GH79" s="8"/>
      <c r="GI79" s="120"/>
      <c r="GL79" s="8"/>
      <c r="GM79" s="120"/>
      <c r="GP79" s="8"/>
      <c r="GQ79" s="120"/>
      <c r="GT79" s="8"/>
      <c r="GU79" s="120"/>
      <c r="GX79" s="8"/>
      <c r="GY79" s="120"/>
      <c r="HB79" s="8"/>
      <c r="HC79" s="120"/>
      <c r="HF79" s="8"/>
      <c r="HG79" s="8"/>
      <c r="HH79" s="120"/>
    </row>
    <row r="80" spans="1:256" x14ac:dyDescent="0.2">
      <c r="A80" s="74"/>
      <c r="B80" s="144"/>
      <c r="C80" s="106"/>
      <c r="D80" s="107"/>
      <c r="F80" s="110"/>
      <c r="G80" s="110"/>
      <c r="H80" s="110"/>
      <c r="I80" s="110"/>
      <c r="J80" s="114"/>
      <c r="K80" s="108"/>
      <c r="L80" s="8"/>
      <c r="M80" s="120"/>
      <c r="N80" s="106"/>
      <c r="O80" s="107"/>
      <c r="P80" s="8"/>
      <c r="Q80" s="120"/>
      <c r="R80" s="120"/>
      <c r="S80" s="120"/>
      <c r="T80" s="120"/>
      <c r="U80" s="114"/>
      <c r="V80" s="108"/>
      <c r="W80" s="8"/>
      <c r="X80" s="120"/>
      <c r="Y80" s="120"/>
      <c r="Z80" s="120"/>
      <c r="AA80" s="120"/>
      <c r="AB80" s="114"/>
      <c r="AC80" s="108"/>
      <c r="AD80" s="8"/>
      <c r="AE80" s="120"/>
      <c r="AF80" s="114"/>
      <c r="AG80" s="108"/>
      <c r="AH80" s="8"/>
      <c r="AI80" s="120"/>
      <c r="AJ80" s="114"/>
      <c r="AK80" s="108"/>
      <c r="AL80" s="8"/>
      <c r="AM80" s="120"/>
      <c r="AN80" s="120"/>
      <c r="AO80" s="120"/>
      <c r="AP80" s="114"/>
      <c r="AQ80" s="108"/>
      <c r="AR80" s="8"/>
      <c r="AS80" s="8"/>
      <c r="AT80" s="8"/>
      <c r="AU80" s="120"/>
      <c r="AV80" s="120"/>
      <c r="AW80" s="114"/>
      <c r="AX80" s="108"/>
      <c r="AY80" s="8"/>
      <c r="AZ80" s="120"/>
      <c r="BA80" s="119"/>
      <c r="BB80" s="26"/>
      <c r="BD80" s="110"/>
      <c r="BE80" s="119"/>
      <c r="BF80" s="26"/>
      <c r="BH80" s="110"/>
      <c r="BI80" s="110"/>
      <c r="BJ80" s="110"/>
      <c r="BK80" s="110"/>
      <c r="BL80" s="119"/>
      <c r="BM80" s="26"/>
      <c r="BO80" s="110"/>
      <c r="BP80" s="110"/>
      <c r="BQ80" s="110"/>
      <c r="BR80" s="110"/>
      <c r="BS80" s="114"/>
      <c r="BV80" s="110"/>
      <c r="BY80" s="8"/>
      <c r="BZ80" s="120"/>
      <c r="CA80" s="109"/>
      <c r="CB80" s="110"/>
      <c r="CC80" s="8"/>
      <c r="CD80" s="120"/>
      <c r="CE80" s="120"/>
      <c r="CF80" s="120"/>
      <c r="CG80" s="114"/>
      <c r="CH80" s="108"/>
      <c r="CI80" s="8"/>
      <c r="CJ80" s="120"/>
      <c r="CK80" s="114"/>
      <c r="CL80" s="108"/>
      <c r="CM80" s="8"/>
      <c r="CN80" s="120"/>
      <c r="CO80" s="120"/>
      <c r="CP80" s="120"/>
      <c r="CQ80" s="120"/>
      <c r="CR80" s="114"/>
      <c r="CS80" s="108"/>
      <c r="CT80" s="8"/>
      <c r="CU80" s="120"/>
      <c r="CV80" s="114"/>
      <c r="CW80" s="108"/>
      <c r="CX80" s="8"/>
      <c r="CY80" s="120"/>
      <c r="CZ80" s="120"/>
      <c r="DA80" s="120"/>
      <c r="DB80" s="114"/>
      <c r="DC80" s="108"/>
      <c r="DD80" s="8"/>
      <c r="DE80" s="120"/>
      <c r="DF80" s="114"/>
      <c r="DG80" s="108"/>
      <c r="DH80" s="8"/>
      <c r="DI80" s="120"/>
      <c r="DJ80" s="120"/>
      <c r="DK80" s="120"/>
      <c r="DL80" s="120"/>
      <c r="DO80" s="8"/>
      <c r="DP80" s="120"/>
      <c r="DQ80" s="120"/>
      <c r="DR80" s="120"/>
      <c r="DS80" s="120"/>
      <c r="DT80" s="114"/>
      <c r="DU80" s="108"/>
      <c r="DV80" s="8"/>
      <c r="DW80" s="120"/>
      <c r="DX80" s="114"/>
      <c r="DY80" s="108"/>
      <c r="DZ80" s="8"/>
      <c r="EA80" s="120"/>
      <c r="ED80" s="8"/>
      <c r="EE80" s="120"/>
      <c r="EH80" s="8"/>
      <c r="EI80" s="120"/>
      <c r="EL80" s="8"/>
      <c r="EM80" s="120"/>
      <c r="EP80" s="8"/>
      <c r="EQ80" s="120"/>
      <c r="ET80" s="8"/>
      <c r="EU80" s="120"/>
      <c r="EX80" s="8"/>
      <c r="EY80" s="120"/>
      <c r="FB80" s="8"/>
      <c r="FC80" s="120"/>
      <c r="FF80" s="8"/>
      <c r="FG80" s="120"/>
      <c r="FJ80" s="8"/>
      <c r="FK80" s="120"/>
      <c r="FN80" s="8"/>
      <c r="FO80" s="120"/>
      <c r="FR80" s="8"/>
      <c r="FS80" s="120"/>
      <c r="FV80" s="8"/>
      <c r="FW80" s="120"/>
      <c r="FZ80" s="8"/>
      <c r="GA80" s="120"/>
      <c r="GD80" s="8"/>
      <c r="GE80" s="120"/>
      <c r="GH80" s="8"/>
      <c r="GI80" s="120"/>
      <c r="GL80" s="8"/>
      <c r="GM80" s="120"/>
      <c r="GP80" s="8"/>
      <c r="GQ80" s="120"/>
      <c r="GT80" s="8"/>
      <c r="GU80" s="120"/>
      <c r="GX80" s="8"/>
      <c r="GY80" s="120"/>
      <c r="HB80" s="8"/>
      <c r="HC80" s="120"/>
      <c r="HF80" s="8"/>
      <c r="HG80" s="8"/>
      <c r="HH80" s="120"/>
    </row>
    <row r="81" spans="1:256" s="146" customFormat="1" ht="14.25" customHeight="1" x14ac:dyDescent="0.25">
      <c r="A81" s="145" t="s">
        <v>268</v>
      </c>
      <c r="C81" s="147"/>
      <c r="D81" s="126"/>
      <c r="K81" s="92"/>
      <c r="N81" s="147"/>
      <c r="O81" s="126"/>
      <c r="V81" s="92"/>
      <c r="AC81" s="92"/>
      <c r="AG81" s="92"/>
      <c r="AK81" s="92"/>
      <c r="AQ81" s="92"/>
      <c r="AX81" s="92"/>
      <c r="BB81" s="92"/>
      <c r="BF81" s="92"/>
      <c r="BM81" s="92"/>
      <c r="BX81" s="92"/>
      <c r="CB81" s="92"/>
      <c r="CH81" s="92"/>
      <c r="CL81" s="92"/>
      <c r="CS81" s="92"/>
      <c r="CW81" s="92"/>
      <c r="DC81" s="92"/>
      <c r="DG81" s="92"/>
      <c r="DN81" s="92"/>
      <c r="DU81" s="92"/>
      <c r="DY81" s="92"/>
      <c r="EC81" s="92"/>
      <c r="EG81" s="92"/>
      <c r="EK81" s="92"/>
      <c r="EO81" s="92"/>
      <c r="ES81" s="92"/>
      <c r="EW81" s="92"/>
      <c r="FA81" s="92"/>
      <c r="FE81" s="92"/>
      <c r="FI81" s="92"/>
      <c r="FM81" s="92"/>
      <c r="FQ81" s="92"/>
      <c r="FU81" s="92"/>
      <c r="FY81" s="92"/>
      <c r="GC81" s="92"/>
      <c r="GG81" s="92"/>
      <c r="GK81" s="92"/>
      <c r="GO81" s="92"/>
      <c r="GS81" s="92"/>
      <c r="GW81" s="92"/>
      <c r="HA81" s="92"/>
      <c r="HE81" s="9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85" customFormat="1" ht="14.25" customHeight="1" x14ac:dyDescent="0.2">
      <c r="A82" s="148" t="s">
        <v>269</v>
      </c>
      <c r="B82" s="148"/>
      <c r="C82" s="125"/>
      <c r="D82" s="126"/>
      <c r="E82" s="92"/>
      <c r="F82" s="92"/>
      <c r="G82" s="92"/>
      <c r="H82" s="92"/>
      <c r="I82" s="92"/>
      <c r="J82" s="91"/>
      <c r="K82" s="92"/>
      <c r="N82" s="125"/>
      <c r="O82" s="126"/>
      <c r="U82" s="91"/>
      <c r="V82" s="92"/>
      <c r="AB82" s="91"/>
      <c r="AC82" s="92"/>
      <c r="AF82" s="91"/>
      <c r="AG82" s="92"/>
      <c r="AJ82" s="91"/>
      <c r="AK82" s="92"/>
      <c r="AP82" s="91"/>
      <c r="AQ82" s="92"/>
      <c r="AW82" s="91"/>
      <c r="AX82" s="92"/>
      <c r="BA82" s="91"/>
      <c r="BB82" s="92"/>
      <c r="BC82" s="92"/>
      <c r="BD82" s="92"/>
      <c r="BE82" s="91"/>
      <c r="BF82" s="92"/>
      <c r="BG82" s="92"/>
      <c r="BH82" s="92"/>
      <c r="BI82" s="92"/>
      <c r="BJ82" s="92"/>
      <c r="BK82" s="92"/>
      <c r="BL82" s="91"/>
      <c r="BM82" s="92"/>
      <c r="BN82" s="92"/>
      <c r="BO82" s="92"/>
      <c r="BP82" s="92"/>
      <c r="BQ82" s="92"/>
      <c r="BR82" s="92"/>
      <c r="BS82" s="91"/>
      <c r="BT82" s="92"/>
      <c r="BU82" s="92"/>
      <c r="BV82" s="92"/>
      <c r="BW82" s="91"/>
      <c r="BX82" s="92"/>
      <c r="CA82" s="91"/>
      <c r="CB82" s="92"/>
      <c r="CG82" s="91"/>
      <c r="CH82" s="92"/>
      <c r="CK82" s="91"/>
      <c r="CL82" s="92"/>
      <c r="CR82" s="91"/>
      <c r="CS82" s="92"/>
      <c r="CV82" s="91"/>
      <c r="CW82" s="92"/>
      <c r="DB82" s="91"/>
      <c r="DC82" s="92"/>
      <c r="DF82" s="91"/>
      <c r="DG82" s="92"/>
      <c r="DM82" s="91"/>
      <c r="DN82" s="92"/>
      <c r="DT82" s="91"/>
      <c r="DU82" s="92"/>
      <c r="DX82" s="91"/>
      <c r="DY82" s="92"/>
      <c r="EB82" s="91"/>
      <c r="EC82" s="92"/>
      <c r="EF82" s="91"/>
      <c r="EG82" s="92"/>
      <c r="EJ82" s="91"/>
      <c r="EK82" s="92"/>
      <c r="EN82" s="91"/>
      <c r="EO82" s="92"/>
      <c r="ER82" s="91"/>
      <c r="ES82" s="92"/>
      <c r="EV82" s="91"/>
      <c r="EW82" s="92"/>
      <c r="EZ82" s="91"/>
      <c r="FA82" s="92"/>
      <c r="FD82" s="91"/>
      <c r="FE82" s="92"/>
      <c r="FH82" s="91"/>
      <c r="FI82" s="92"/>
      <c r="FL82" s="91"/>
      <c r="FM82" s="92"/>
      <c r="FP82" s="91"/>
      <c r="FQ82" s="92"/>
      <c r="FT82" s="91"/>
      <c r="FU82" s="92"/>
      <c r="FX82" s="91"/>
      <c r="FY82" s="92"/>
      <c r="GB82" s="91"/>
      <c r="GC82" s="92"/>
      <c r="GF82" s="91"/>
      <c r="GG82" s="92"/>
      <c r="GJ82" s="91"/>
      <c r="GK82" s="92"/>
      <c r="GN82" s="91"/>
      <c r="GO82" s="92"/>
      <c r="GR82" s="91"/>
      <c r="GS82" s="92"/>
      <c r="GV82" s="91"/>
      <c r="GW82" s="92"/>
      <c r="GZ82" s="91"/>
      <c r="HA82" s="92"/>
      <c r="HD82" s="91"/>
      <c r="HE82" s="9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x14ac:dyDescent="0.2">
      <c r="B83" s="149" t="s">
        <v>270</v>
      </c>
      <c r="C83" s="117"/>
      <c r="D83" s="118"/>
      <c r="E83" s="130">
        <f>(E24/E120)/E$142</f>
        <v>5.8541290755767155E-3</v>
      </c>
      <c r="F83" s="130">
        <f>(F24/F120)/F$142</f>
        <v>7.712623492401767E-3</v>
      </c>
      <c r="G83" s="130">
        <f>(G24/G120)/G$142</f>
        <v>5.7362965600658133E-3</v>
      </c>
      <c r="H83" s="130">
        <f>(H24/H120)/H$142</f>
        <v>4.3517307495154565E-3</v>
      </c>
      <c r="I83" s="130"/>
      <c r="J83" s="114"/>
      <c r="K83" s="108"/>
      <c r="L83" s="130">
        <f>(L24/L120)/L$142</f>
        <v>-2.9359000227431559E-2</v>
      </c>
      <c r="M83" s="150"/>
      <c r="N83" s="117"/>
      <c r="O83" s="118"/>
      <c r="P83" s="130">
        <f>(P24/P120)/P$142</f>
        <v>1.1205833422795254E-2</v>
      </c>
      <c r="Q83" s="130">
        <f>(Q24/Q120)/Q$142</f>
        <v>9.2149848696562158E-3</v>
      </c>
      <c r="R83" s="130">
        <f>(R24/R120)/R$142</f>
        <v>6.1898501380570669E-3</v>
      </c>
      <c r="S83" s="130">
        <f>(S24/S120)/S$142</f>
        <v>9.6190514928399772E-3</v>
      </c>
      <c r="T83" s="150"/>
      <c r="U83" s="114"/>
      <c r="V83" s="108"/>
      <c r="W83" s="130">
        <f>(W24/W120)/W$142</f>
        <v>2.4495521978749827E-2</v>
      </c>
      <c r="X83" s="130">
        <f>(X24/X120)/X$142</f>
        <v>6.6655124859063405E-3</v>
      </c>
      <c r="Y83" s="130">
        <f>(Y24/Y120)/Y$142</f>
        <v>1.9206351785495988E-2</v>
      </c>
      <c r="Z83" s="130">
        <f>(Z24/Z120)/Z$142</f>
        <v>1.9760900651462944E-2</v>
      </c>
      <c r="AA83" s="150"/>
      <c r="AB83" s="114"/>
      <c r="AC83" s="108"/>
      <c r="AD83" s="130">
        <f>(AD24/AD120)/AD$142</f>
        <v>6.1213596820792221E-2</v>
      </c>
      <c r="AE83" s="150"/>
      <c r="AF83" s="114"/>
      <c r="AG83" s="108"/>
      <c r="AH83" s="130">
        <f>(AH24/AH120)/AH$142</f>
        <v>1.1850988495114503E-2</v>
      </c>
      <c r="AI83" s="150"/>
      <c r="AJ83" s="114"/>
      <c r="AK83" s="108"/>
      <c r="AL83" s="130">
        <f>(AL24/AL120)/AL$142</f>
        <v>4.2148304657739655E-3</v>
      </c>
      <c r="AM83" s="150"/>
      <c r="AN83" s="150"/>
      <c r="AO83" s="150"/>
      <c r="AP83" s="114"/>
      <c r="AQ83" s="108"/>
      <c r="AR83" s="130">
        <f>(AR24/AR120)/AR$142</f>
        <v>5.4570512882128705E-2</v>
      </c>
      <c r="AS83" s="130">
        <f>(AS24/AS120)/AS$142</f>
        <v>5.1776999042420495E-2</v>
      </c>
      <c r="AT83" s="130">
        <f>(AT24/AT120)/AT$142</f>
        <v>3.7501166532904216E-2</v>
      </c>
      <c r="AU83" s="130">
        <f>(AU24/AU120)/AU$142</f>
        <v>5.1999559659242543E-2</v>
      </c>
      <c r="AV83" s="150"/>
      <c r="AW83" s="114"/>
      <c r="AX83" s="108"/>
      <c r="AY83" s="130">
        <f>(AY24/AY120)/AY$142</f>
        <v>3.1321199798828406E-4</v>
      </c>
      <c r="AZ83" s="150"/>
      <c r="BA83" s="151"/>
      <c r="BB83" s="152"/>
      <c r="BC83" s="130">
        <f>(BC24/BC120)/BC$142</f>
        <v>1.1417759227217784E-2</v>
      </c>
      <c r="BD83" s="153"/>
      <c r="BE83" s="151"/>
      <c r="BF83" s="152"/>
      <c r="BG83" s="130">
        <f>(BG24/BG120)/BG$142</f>
        <v>2.4363984330265626E-2</v>
      </c>
      <c r="BH83" s="130">
        <f>(BH24/BH120)/BH$142</f>
        <v>3.1697043566994529E-2</v>
      </c>
      <c r="BI83" s="130">
        <f>(BI24/BI120)/BI$142</f>
        <v>1.3133561288332062E-2</v>
      </c>
      <c r="BJ83" s="130">
        <f>(BJ24/BJ120)/BJ$142</f>
        <v>-1.2914617033416091E-2</v>
      </c>
      <c r="BK83" s="153"/>
      <c r="BL83" s="151"/>
      <c r="BM83" s="152"/>
      <c r="BN83" s="130">
        <f>(BN24/BN120)/BN$142</f>
        <v>1.1830525234089005E-2</v>
      </c>
      <c r="BO83" s="130">
        <f>(BO24/BO120)/BO$142</f>
        <v>0.12408020121266275</v>
      </c>
      <c r="BP83" s="130">
        <f>(BP24/BP120)/BP$142</f>
        <v>7.2906144664691641E-2</v>
      </c>
      <c r="BQ83" s="130">
        <f>(BQ24/BQ120)/BQ$142</f>
        <v>0.14185821688951125</v>
      </c>
      <c r="BR83" s="153"/>
      <c r="BS83" s="114"/>
      <c r="BT83" s="130"/>
      <c r="BU83" s="130">
        <f>(BU24/BU120)/BU$142</f>
        <v>1.6389610573597026E-2</v>
      </c>
      <c r="BV83" s="153"/>
      <c r="BY83" s="130">
        <f>(BY24/BY120)/BY$142</f>
        <v>4.6520391532497388E-2</v>
      </c>
      <c r="BZ83" s="150"/>
      <c r="CA83" s="154"/>
      <c r="CB83" s="131"/>
      <c r="CC83" s="130">
        <f>(CC24/CC120)/CC$142</f>
        <v>1.5741563096757095E-2</v>
      </c>
      <c r="CD83" s="130">
        <f>(CD24/CD120)/CD$142</f>
        <v>1.5922545166521626E-2</v>
      </c>
      <c r="CE83" s="130">
        <f>(CE24/CE120)/CE$142</f>
        <v>9.5337746747728817E-3</v>
      </c>
      <c r="CF83" s="150"/>
      <c r="CG83" s="114"/>
      <c r="CH83" s="108"/>
      <c r="CI83" s="130">
        <f>(CI24/CI120)/CI$142</f>
        <v>4.0797312869296588E-2</v>
      </c>
      <c r="CJ83" s="150"/>
      <c r="CK83" s="114"/>
      <c r="CL83" s="108"/>
      <c r="CM83" s="130">
        <f>(CM24/CM120)/CM$142</f>
        <v>2.0873320156991726E-2</v>
      </c>
      <c r="CN83" s="150"/>
      <c r="CO83" s="150"/>
      <c r="CP83" s="150"/>
      <c r="CQ83" s="150"/>
      <c r="CR83" s="114"/>
      <c r="CS83" s="108"/>
      <c r="CT83" s="130">
        <f>(CT24/CT120)/CT$142</f>
        <v>-5.839027416628334E-2</v>
      </c>
      <c r="CU83" s="150"/>
      <c r="CV83" s="114"/>
      <c r="CW83" s="108"/>
      <c r="CX83" s="130">
        <f>(CX24/CX120)/CX$142</f>
        <v>2.8666803331016975E-2</v>
      </c>
      <c r="CY83" s="150"/>
      <c r="CZ83" s="150"/>
      <c r="DA83" s="150"/>
      <c r="DB83" s="114"/>
      <c r="DC83" s="108"/>
      <c r="DD83" s="130">
        <f>(DD24/DD120)/DD$142</f>
        <v>0.11032151004462395</v>
      </c>
      <c r="DE83" s="150"/>
      <c r="DF83" s="114"/>
      <c r="DG83" s="108"/>
      <c r="DH83" s="130">
        <f>(DH24/DH120)/DH$142</f>
        <v>0.18219594304195794</v>
      </c>
      <c r="DI83" s="150"/>
      <c r="DJ83" s="150"/>
      <c r="DK83" s="150"/>
      <c r="DL83" s="150"/>
      <c r="DO83" s="130">
        <f>(DO24/DO120)/DO$142</f>
        <v>1.7077788138227232E-2</v>
      </c>
      <c r="DP83" s="150"/>
      <c r="DQ83" s="150"/>
      <c r="DR83" s="150"/>
      <c r="DS83" s="150"/>
      <c r="DT83" s="114"/>
      <c r="DU83" s="108"/>
      <c r="DV83" s="130">
        <f>(DV24/DV120)/DV$142</f>
        <v>-1.4481705626627553E-2</v>
      </c>
      <c r="DW83" s="150"/>
      <c r="DX83" s="114"/>
      <c r="DY83" s="108"/>
      <c r="DZ83" s="130">
        <f>(DZ24/DZ120)/DZ$142</f>
        <v>3.492615199422703E-2</v>
      </c>
      <c r="EA83" s="150"/>
      <c r="ED83" s="130">
        <f>(ED24/ED120)/ED$142</f>
        <v>2.5510908522575738E-2</v>
      </c>
      <c r="EE83" s="150"/>
      <c r="EH83" s="130">
        <f>(EH24/EH120)/EH$142</f>
        <v>1.6448517982118802E-2</v>
      </c>
      <c r="EI83" s="150"/>
      <c r="EL83" s="130">
        <f>(EL24/EL120)/EL$142</f>
        <v>-1.0159146711199912E-2</v>
      </c>
      <c r="EM83" s="150"/>
      <c r="EP83" s="130">
        <f>(EP24/EP120)/EP$142</f>
        <v>2.5116506456438821E-2</v>
      </c>
      <c r="EQ83" s="150"/>
      <c r="ET83" s="130">
        <f>(ET24/ET120)/ET$142</f>
        <v>6.4925028656555688E-3</v>
      </c>
      <c r="EU83" s="150"/>
      <c r="EX83" s="130">
        <f>(EX24/EX120)/EX$142</f>
        <v>3.6275011212261857E-2</v>
      </c>
      <c r="EY83" s="130"/>
      <c r="FB83" s="130">
        <f>(FB24/FB120)/FB$142</f>
        <v>2.0890668935171715E-2</v>
      </c>
      <c r="FC83" s="150"/>
      <c r="FF83" s="130">
        <f>(FF24/FF120)/FF$142</f>
        <v>1.8457660765667634E-2</v>
      </c>
      <c r="FG83" s="150"/>
      <c r="FJ83" s="130">
        <f>(FJ24/FJ120)/FJ$142</f>
        <v>2.3074144136523943E-2</v>
      </c>
      <c r="FK83" s="150"/>
      <c r="FN83" s="130">
        <f>(FN24/FN120)/FN$142</f>
        <v>1.7386136915774112E-3</v>
      </c>
      <c r="FO83" s="150"/>
      <c r="FR83" s="130">
        <f>(FR24/FR120)/FR$142</f>
        <v>3.3482107449898157E-2</v>
      </c>
      <c r="FS83" s="150"/>
      <c r="FV83" s="130">
        <f>(FV24/FV120)/FV$142</f>
        <v>0.16395342554314901</v>
      </c>
      <c r="FW83" s="150"/>
      <c r="FZ83" s="130">
        <f>(FZ24/FZ120)/FZ$142</f>
        <v>2.3664539865871834E-2</v>
      </c>
      <c r="GA83" s="150"/>
      <c r="GD83" s="130">
        <f>(GD24/GD120)/GD$142</f>
        <v>7.8213370331928322E-2</v>
      </c>
      <c r="GE83" s="150"/>
      <c r="GH83" s="130">
        <f>(GH24/GH120)/GH$142</f>
        <v>3.7989970386609331E-3</v>
      </c>
      <c r="GI83" s="150"/>
      <c r="GL83" s="130">
        <f>(GL24/GL120)/GL$142</f>
        <v>-9.4848611154331436E-2</v>
      </c>
      <c r="GM83" s="150"/>
      <c r="GP83" s="130">
        <f>(GP24/GP120)/GP$142</f>
        <v>-3.0027276147479309E-2</v>
      </c>
      <c r="GQ83" s="150"/>
      <c r="GT83" s="130">
        <f>(GT24/GT120)/GT$142</f>
        <v>5.9129122630252594E-5</v>
      </c>
      <c r="GU83" s="150"/>
      <c r="GX83" s="130">
        <f>(GX24/GX120)/GX$142</f>
        <v>3.9726871610744278E-2</v>
      </c>
      <c r="GY83" s="150"/>
      <c r="HB83" s="130">
        <f>(HB24/HB120)/HB$142</f>
        <v>6.5802058783365168E-3</v>
      </c>
      <c r="HC83" s="150"/>
      <c r="HF83" s="130">
        <f>(HF24/HF120)/HF$142</f>
        <v>9.6020209117309019E-4</v>
      </c>
      <c r="HG83" s="130">
        <f>(HG24/HG120)/HG$142</f>
        <v>1.066709777024263E-3</v>
      </c>
      <c r="HH83" s="150"/>
    </row>
    <row r="84" spans="1:256" x14ac:dyDescent="0.2">
      <c r="B84" s="155" t="s">
        <v>271</v>
      </c>
      <c r="C84" s="117"/>
      <c r="D84" s="118"/>
      <c r="E84" s="130">
        <f>(E24/E123)/E$142</f>
        <v>7.1161383274406756E-2</v>
      </c>
      <c r="F84" s="130">
        <f>(F24/F123)/F$142</f>
        <v>8.3072369122771522E-2</v>
      </c>
      <c r="G84" s="130">
        <f>(G24/G123)/G$142</f>
        <v>5.9755548866598965E-2</v>
      </c>
      <c r="H84" s="130">
        <f>(H24/H123)/H$142</f>
        <v>4.6398006242583958E-2</v>
      </c>
      <c r="I84" s="130"/>
      <c r="J84" s="114"/>
      <c r="K84" s="108"/>
      <c r="L84" s="130">
        <f>(L24/L123)/L$142</f>
        <v>-4.7832980405994346E-2</v>
      </c>
      <c r="M84" s="150"/>
      <c r="N84" s="117"/>
      <c r="O84" s="118"/>
      <c r="P84" s="130">
        <f ca="1">Array4</f>
        <v>0</v>
      </c>
      <c r="Q84" s="130">
        <f>(Q24/Q123)/Q$142</f>
        <v>4.7454426774041984E-2</v>
      </c>
      <c r="R84" s="130">
        <f>(R24/R123)/R$142</f>
        <v>3.3774879248845667E-2</v>
      </c>
      <c r="S84" s="130">
        <f>(S24/S123)/S$142</f>
        <v>5.6308123102407591E-2</v>
      </c>
      <c r="T84" s="150"/>
      <c r="U84" s="114"/>
      <c r="V84" s="108"/>
      <c r="W84" s="130">
        <f>(W24/W123)/W$142</f>
        <v>0.2197886715516098</v>
      </c>
      <c r="X84" s="130">
        <f>(X24/X123)/X$142</f>
        <v>5.5976683775975256E-2</v>
      </c>
      <c r="Y84" s="130">
        <f>(Y24/Y123)/Y$142</f>
        <v>0.14728615647871013</v>
      </c>
      <c r="Z84" s="130">
        <f>(Z24/Z123)/Z$142</f>
        <v>0.14711200019691162</v>
      </c>
      <c r="AA84" s="150"/>
      <c r="AB84" s="114"/>
      <c r="AC84" s="108"/>
      <c r="AD84" s="130">
        <f>(AD24/AD123)/AD$142</f>
        <v>0.78241345205954349</v>
      </c>
      <c r="AE84" s="150"/>
      <c r="AF84" s="114"/>
      <c r="AG84" s="108"/>
      <c r="AH84" s="130">
        <f>(AH24/AH123)/AH$142</f>
        <v>0.15082400587337569</v>
      </c>
      <c r="AI84" s="150"/>
      <c r="AJ84" s="114"/>
      <c r="AK84" s="108"/>
      <c r="AL84" s="130">
        <f>(AL24/AL123)/AL$142</f>
        <v>2.2376881128049191E-2</v>
      </c>
      <c r="AM84" s="150"/>
      <c r="AN84" s="150"/>
      <c r="AO84" s="150"/>
      <c r="AP84" s="114"/>
      <c r="AQ84" s="108"/>
      <c r="AR84" s="130">
        <f>(AR24/AR123)/AR$142</f>
        <v>0.34024980075871081</v>
      </c>
      <c r="AS84" s="130">
        <f>(AS24/AS123)/AS$142</f>
        <v>0.35020197921995455</v>
      </c>
      <c r="AT84" s="130">
        <f>(AT24/AT123)/AT$142</f>
        <v>0.25244125594664907</v>
      </c>
      <c r="AU84" s="130">
        <f>(AU24/AU123)/AU$142</f>
        <v>0.31577689674721726</v>
      </c>
      <c r="AV84" s="150"/>
      <c r="AW84" s="114"/>
      <c r="AX84" s="108"/>
      <c r="AY84" s="130">
        <f>(AY24/AY123)/AY$142</f>
        <v>5.5476303693136789E-2</v>
      </c>
      <c r="AZ84" s="150"/>
      <c r="BA84" s="151"/>
      <c r="BB84" s="152"/>
      <c r="BC84" s="130">
        <f>(BC24/BC123)/BC$142</f>
        <v>0.34421151390489052</v>
      </c>
      <c r="BD84" s="153"/>
      <c r="BE84" s="151"/>
      <c r="BF84" s="152"/>
      <c r="BG84" s="130">
        <f>(BG24/BG123)/BG$142</f>
        <v>0.20501820072802912</v>
      </c>
      <c r="BH84" s="130">
        <f>(BH24/BH123)/BH$142</f>
        <v>0.39103128977662149</v>
      </c>
      <c r="BI84" s="130">
        <f>(BI24/BI123)/BI$142</f>
        <v>0.25048053669746612</v>
      </c>
      <c r="BJ84" s="130">
        <f>(BJ24/BJ123)/BJ$142</f>
        <v>-0.18287357158454035</v>
      </c>
      <c r="BK84" s="153"/>
      <c r="BL84" s="151"/>
      <c r="BM84" s="152"/>
      <c r="BN84" s="130">
        <f>(BN24/BN123)/BN$142</f>
        <v>3.7893780871400849E-2</v>
      </c>
      <c r="BO84" s="130">
        <f>(BO24/BO123)/BO$142</f>
        <v>0.33986649478544434</v>
      </c>
      <c r="BP84" s="130">
        <f>(BP24/BP123)/BP$142</f>
        <v>0.14535137729976957</v>
      </c>
      <c r="BQ84" s="130">
        <f>(BQ24/BQ123)/BQ$142</f>
        <v>0.23070542563926313</v>
      </c>
      <c r="BR84" s="153"/>
      <c r="BS84" s="114"/>
      <c r="BT84" s="130"/>
      <c r="BU84" s="130">
        <f>(BU24/BU123)/BU$142</f>
        <v>0.1119991394610876</v>
      </c>
      <c r="BV84" s="153"/>
      <c r="BY84" s="130">
        <f>(BY24/BY123)/BY$142</f>
        <v>0.18382161337155195</v>
      </c>
      <c r="BZ84" s="150"/>
      <c r="CA84" s="154"/>
      <c r="CB84" s="131"/>
      <c r="CC84" s="130">
        <f>(CC24/CC123)/CC$142</f>
        <v>0.31161149096613644</v>
      </c>
      <c r="CD84" s="130">
        <f>(CD24/CD123)/CD$142</f>
        <v>0.30816244028385981</v>
      </c>
      <c r="CE84" s="130">
        <f>(CE24/CE123)/CE$142</f>
        <v>0.18265929970248768</v>
      </c>
      <c r="CF84" s="150"/>
      <c r="CG84" s="114"/>
      <c r="CH84" s="108"/>
      <c r="CI84" s="130">
        <f>(CI24/CI123)/CI$142</f>
        <v>5.8734248702834349E-2</v>
      </c>
      <c r="CJ84" s="150"/>
      <c r="CK84" s="114"/>
      <c r="CL84" s="108"/>
      <c r="CM84" s="130">
        <f>(CM24/CM123)/CM$142</f>
        <v>6.2336358556537193E-2</v>
      </c>
      <c r="CN84" s="150"/>
      <c r="CO84" s="150"/>
      <c r="CP84" s="150"/>
      <c r="CQ84" s="150"/>
      <c r="CR84" s="114"/>
      <c r="CS84" s="108"/>
      <c r="CT84" s="130">
        <f>(CT24/CT123)/CT$142</f>
        <v>-0.63333798552503795</v>
      </c>
      <c r="CU84" s="150"/>
      <c r="CV84" s="114"/>
      <c r="CW84" s="108"/>
      <c r="CX84" s="130">
        <f>(CX24/CX123)/CX$142</f>
        <v>0.15862473942880528</v>
      </c>
      <c r="CY84" s="150"/>
      <c r="CZ84" s="150"/>
      <c r="DA84" s="150"/>
      <c r="DB84" s="114"/>
      <c r="DC84" s="108"/>
      <c r="DD84" s="130">
        <f>(DD24/DD123)/DD$142</f>
        <v>4.2438266666666662</v>
      </c>
      <c r="DE84" s="150"/>
      <c r="DF84" s="114"/>
      <c r="DG84" s="108"/>
      <c r="DH84" s="130">
        <f>(DH24/DH123)/DH$142</f>
        <v>1.5294598365129095</v>
      </c>
      <c r="DI84" s="150"/>
      <c r="DJ84" s="150"/>
      <c r="DK84" s="150"/>
      <c r="DL84" s="150"/>
      <c r="DO84" s="130">
        <f>(DO24/DO123)/DO$142</f>
        <v>0.25307763168913827</v>
      </c>
      <c r="DP84" s="150"/>
      <c r="DQ84" s="150"/>
      <c r="DR84" s="150"/>
      <c r="DS84" s="150"/>
      <c r="DT84" s="114"/>
      <c r="DU84" s="108"/>
      <c r="DV84" s="130">
        <f>(DV24/DV123)/DV$142</f>
        <v>-0.16224322818127282</v>
      </c>
      <c r="DW84" s="150"/>
      <c r="DX84" s="114"/>
      <c r="DY84" s="108"/>
      <c r="DZ84" s="130">
        <f>(DZ24/DZ123)/DZ$142</f>
        <v>0.50265876030340484</v>
      </c>
      <c r="EA84" s="150"/>
      <c r="ED84" s="130">
        <f>(ED24/ED123)/ED$142</f>
        <v>6.8339821399903231E-2</v>
      </c>
      <c r="EE84" s="150"/>
      <c r="EH84" s="130">
        <f>(EH24/EH123)/EH$142</f>
        <v>0.10878852714680343</v>
      </c>
      <c r="EI84" s="150"/>
      <c r="EL84" s="130">
        <f>(EL24/EL123)/EL$142</f>
        <v>-3.7262551500346373E-2</v>
      </c>
      <c r="EM84" s="150"/>
      <c r="EP84" s="130">
        <f>(EP24/EP123)/EP$142</f>
        <v>0.3422923331158097</v>
      </c>
      <c r="EQ84" s="150"/>
      <c r="ET84" s="130">
        <f>(ET24/ET123)/ET$142</f>
        <v>4.2507053438817145E-2</v>
      </c>
      <c r="EU84" s="150"/>
      <c r="EX84" s="130">
        <f>(EX24/EX123)/EX$142</f>
        <v>7.2371219791691144E-2</v>
      </c>
      <c r="EY84" s="130"/>
      <c r="FB84" s="130">
        <f>(FB24/FB123)/FB$142</f>
        <v>4.752723200504335E-2</v>
      </c>
      <c r="FC84" s="150"/>
      <c r="FF84" s="130">
        <f>(FF24/FF123)/FF$142</f>
        <v>0.18417879996290457</v>
      </c>
      <c r="FG84" s="150"/>
      <c r="FJ84" s="130">
        <f>(FJ24/FJ123)/FJ$142</f>
        <v>0.22348061499288063</v>
      </c>
      <c r="FK84" s="150"/>
      <c r="FN84" s="130">
        <f>(FN24/FN123)/FN$142</f>
        <v>5.9301117394707857E-2</v>
      </c>
      <c r="FO84" s="150"/>
      <c r="FR84" s="130">
        <f>(FR24/FR123)/FR$142</f>
        <v>2.7326468682289611</v>
      </c>
      <c r="FS84" s="150"/>
      <c r="FV84" s="130">
        <f>(FV24/FV123)/FV$142</f>
        <v>1.565211017144718</v>
      </c>
      <c r="FW84" s="150"/>
      <c r="FZ84" s="130">
        <f>(FZ24/FZ123)/FZ$142</f>
        <v>0.16988820394943058</v>
      </c>
      <c r="GA84" s="150"/>
      <c r="GD84" s="130">
        <f>(GD24/GD123)/GD$142</f>
        <v>0.91790662143615609</v>
      </c>
      <c r="GE84" s="150"/>
      <c r="GH84" s="130">
        <f>(GH24/GH123)/GH$142</f>
        <v>5.5257196677258549E-2</v>
      </c>
      <c r="GI84" s="150"/>
      <c r="GL84" s="130">
        <f>(GL24/GL123)/GL$142</f>
        <v>-0.36708980955372628</v>
      </c>
      <c r="GM84" s="150"/>
      <c r="GP84" s="130">
        <f>(GP24/GP123)/GP$142</f>
        <v>9.2073496918246303</v>
      </c>
      <c r="GQ84" s="150"/>
      <c r="GT84" s="130">
        <f>(GT24/GT123)/GT$142</f>
        <v>1.7857142857142858</v>
      </c>
      <c r="GU84" s="150"/>
      <c r="GX84" s="130">
        <f>(GX24/GX123)/GX$142</f>
        <v>0.32959572542896592</v>
      </c>
      <c r="GY84" s="150"/>
      <c r="HB84" s="130">
        <f>(HB24/HB123)/HB$142</f>
        <v>14.377589234063725</v>
      </c>
      <c r="HC84" s="150"/>
      <c r="HF84" s="130">
        <f>(HF24/HF123)/HF$142</f>
        <v>0.58693270864466174</v>
      </c>
      <c r="HG84" s="130">
        <f>(HG24/HG123)/HG$142</f>
        <v>1.2695401503956325</v>
      </c>
      <c r="HH84" s="150"/>
    </row>
    <row r="85" spans="1:256" x14ac:dyDescent="0.2">
      <c r="B85" s="156" t="s">
        <v>272</v>
      </c>
      <c r="C85" s="117"/>
      <c r="D85" s="118"/>
      <c r="E85" s="130">
        <f>(E7-E8)/E120</f>
        <v>9.0609001510227102E-3</v>
      </c>
      <c r="F85" s="130">
        <f>(F7-F8)/F120</f>
        <v>1.038659849585474E-2</v>
      </c>
      <c r="G85" s="130">
        <f>(G7-G8)/G120</f>
        <v>7.3575977716486898E-3</v>
      </c>
      <c r="H85" s="130">
        <f>(H7-H8)/H120</f>
        <v>2.4957876806099072E-3</v>
      </c>
      <c r="I85" s="130"/>
      <c r="J85" s="114"/>
      <c r="K85" s="108"/>
      <c r="L85" s="130">
        <f>(L7-L8)/L120</f>
        <v>5.646907927453741E-3</v>
      </c>
      <c r="M85" s="150"/>
      <c r="N85" s="117"/>
      <c r="O85" s="118"/>
      <c r="P85" s="130">
        <f>(P7-P8)/P120</f>
        <v>5.2172009153401644E-2</v>
      </c>
      <c r="Q85" s="130">
        <f>(Q7-Q8)/Q120</f>
        <v>5.3185811763034198E-2</v>
      </c>
      <c r="R85" s="130">
        <f>(R7-R8)/R120</f>
        <v>4.1578887328984876E-2</v>
      </c>
      <c r="S85" s="130">
        <f>(S7-S8)/S120</f>
        <v>4.9737598008613507E-2</v>
      </c>
      <c r="T85" s="150"/>
      <c r="U85" s="114"/>
      <c r="V85" s="108"/>
      <c r="W85" s="130">
        <f>(W7-W8)/W120</f>
        <v>6.6608891778207294E-2</v>
      </c>
      <c r="X85" s="130">
        <f>(X7-X8)/X120</f>
        <v>6.0618898921473499E-2</v>
      </c>
      <c r="Y85" s="130">
        <f>(Y7-Y8)/Y120</f>
        <v>6.8302919892203606E-2</v>
      </c>
      <c r="Z85" s="130">
        <f>(Z7-Z8)/Z120</f>
        <v>6.4598453210713655E-2</v>
      </c>
      <c r="AA85" s="150"/>
      <c r="AB85" s="114"/>
      <c r="AC85" s="108"/>
      <c r="AD85" s="130">
        <f>(AD7-AD8)/AD120</f>
        <v>0.16179009756860871</v>
      </c>
      <c r="AE85" s="150"/>
      <c r="AF85" s="114"/>
      <c r="AG85" s="108"/>
      <c r="AH85" s="130">
        <f>(AH7-AH8)/AH120</f>
        <v>3.2252796167475596E-2</v>
      </c>
      <c r="AI85" s="150"/>
      <c r="AJ85" s="114"/>
      <c r="AK85" s="108"/>
      <c r="AL85" s="130">
        <f>(AL7-AL8)/AL120</f>
        <v>5.162394969440641E-2</v>
      </c>
      <c r="AM85" s="150"/>
      <c r="AN85" s="150"/>
      <c r="AO85" s="150"/>
      <c r="AP85" s="114"/>
      <c r="AQ85" s="108"/>
      <c r="AR85" s="130">
        <f>(AR7-AR8)/AR120</f>
        <v>0.11044131508783496</v>
      </c>
      <c r="AS85" s="130">
        <f>(AS7-AS8)/AS120</f>
        <v>0.10626044597812956</v>
      </c>
      <c r="AT85" s="130">
        <f>(AT7-AT8)/AT120</f>
        <v>0.10346800233573218</v>
      </c>
      <c r="AU85" s="130">
        <f>(AU7-AU8)/AU120</f>
        <v>0.10336457617918998</v>
      </c>
      <c r="AV85" s="150"/>
      <c r="AW85" s="114"/>
      <c r="AX85" s="108"/>
      <c r="AY85" s="130">
        <f>(AY7-AY8)/AY120</f>
        <v>2.1029948436356218E-3</v>
      </c>
      <c r="AZ85" s="150"/>
      <c r="BA85" s="151"/>
      <c r="BB85" s="152"/>
      <c r="BC85" s="130">
        <f>(BC7-BC8)/BC120</f>
        <v>9.6820013936205374E-2</v>
      </c>
      <c r="BD85" s="153"/>
      <c r="BE85" s="151"/>
      <c r="BF85" s="152"/>
      <c r="BG85" s="130">
        <f>(BG7-BG8)/BG120</f>
        <v>2.7571702939378752E-2</v>
      </c>
      <c r="BH85" s="130">
        <f>(BH7-BH8)/BH120</f>
        <v>1.8753366025114092E-2</v>
      </c>
      <c r="BI85" s="130">
        <f>(BI7-BI8)/BI120</f>
        <v>1.4978961335689095E-2</v>
      </c>
      <c r="BJ85" s="130">
        <f>(BJ7-BJ8)/BJ120</f>
        <v>5.6027592304173284E-4</v>
      </c>
      <c r="BK85" s="153"/>
      <c r="BL85" s="151"/>
      <c r="BM85" s="152"/>
      <c r="BN85" s="130">
        <f>(BN7-BN8)/BN120</f>
        <v>0.17715838279579735</v>
      </c>
      <c r="BO85" s="130">
        <f>(BO7-BO8)/BO120</f>
        <v>0.24628527289749627</v>
      </c>
      <c r="BP85" s="130">
        <f>(BP7-BP8)/BP120</f>
        <v>0.25557174719239067</v>
      </c>
      <c r="BQ85" s="130">
        <f>(BQ7-BQ8)/BQ120</f>
        <v>0.23454482594931567</v>
      </c>
      <c r="BR85" s="153"/>
      <c r="BS85" s="114"/>
      <c r="BT85" s="130"/>
      <c r="BU85" s="130">
        <f>(BU7-BU8)/BU120</f>
        <v>7.0858463308727415E-2</v>
      </c>
      <c r="BV85" s="153"/>
      <c r="BY85" s="130">
        <f>(BY7-BY8)/BY120</f>
        <v>-4.5615985378767182E-2</v>
      </c>
      <c r="BZ85" s="150"/>
      <c r="CA85" s="154"/>
      <c r="CB85" s="131"/>
      <c r="CC85" s="130">
        <f>(CC7-CC8)/CC120</f>
        <v>4.0304247655237338E-2</v>
      </c>
      <c r="CD85" s="130">
        <f>(CD7-CD8)/CD120</f>
        <v>2.6214160327677007E-2</v>
      </c>
      <c r="CE85" s="130">
        <f>(CE7-CE8)/CE120</f>
        <v>3.8203111768570783E-3</v>
      </c>
      <c r="CF85" s="150"/>
      <c r="CG85" s="114"/>
      <c r="CH85" s="108"/>
      <c r="CI85" s="130">
        <f>(CI7-CI8)/CI120</f>
        <v>0.14337901782430676</v>
      </c>
      <c r="CJ85" s="150"/>
      <c r="CK85" s="114"/>
      <c r="CL85" s="108"/>
      <c r="CM85" s="130">
        <f>(CM7-CM8)/CM120</f>
        <v>0.11388300233192704</v>
      </c>
      <c r="CN85" s="150"/>
      <c r="CO85" s="150"/>
      <c r="CP85" s="150"/>
      <c r="CQ85" s="150"/>
      <c r="CR85" s="114"/>
      <c r="CS85" s="108"/>
      <c r="CT85" s="130">
        <f>(CT7-CT8)/CT120</f>
        <v>4.3424677628220144E-2</v>
      </c>
      <c r="CU85" s="150"/>
      <c r="CV85" s="114"/>
      <c r="CW85" s="108"/>
      <c r="CX85" s="130">
        <f>(CX7-CX8)/CX120</f>
        <v>0.17188113026497706</v>
      </c>
      <c r="CY85" s="150"/>
      <c r="CZ85" s="150"/>
      <c r="DA85" s="150"/>
      <c r="DB85" s="114"/>
      <c r="DC85" s="108"/>
      <c r="DD85" s="130">
        <f>(DD7-DD8)/DD120</f>
        <v>0.11801937523101566</v>
      </c>
      <c r="DE85" s="150"/>
      <c r="DF85" s="114"/>
      <c r="DG85" s="108"/>
      <c r="DH85" s="130">
        <f>(DH7-DH8)/DH120</f>
        <v>6.0130648555075959E-2</v>
      </c>
      <c r="DI85" s="150"/>
      <c r="DJ85" s="150"/>
      <c r="DK85" s="150"/>
      <c r="DL85" s="150"/>
      <c r="DO85" s="130">
        <f>(DO7-DO8)/DO120</f>
        <v>6.2264417507275863E-2</v>
      </c>
      <c r="DP85" s="150"/>
      <c r="DQ85" s="150"/>
      <c r="DR85" s="150"/>
      <c r="DS85" s="150"/>
      <c r="DT85" s="114"/>
      <c r="DU85" s="108"/>
      <c r="DV85" s="130">
        <f>(DV7-DV8)/DV120</f>
        <v>6.0131855221597932E-2</v>
      </c>
      <c r="DW85" s="150"/>
      <c r="DX85" s="114"/>
      <c r="DY85" s="108"/>
      <c r="DZ85" s="130">
        <f>(DZ7-DZ8)/DZ120</f>
        <v>2.8307089219483144E-2</v>
      </c>
      <c r="EA85" s="150"/>
      <c r="ED85" s="130">
        <f>(ED7-ED8)/ED120</f>
        <v>4.6586438497023271E-2</v>
      </c>
      <c r="EE85" s="150"/>
      <c r="EH85" s="130">
        <f>(EH7-EH8)/EH120</f>
        <v>8.5802697303552514E-2</v>
      </c>
      <c r="EI85" s="150"/>
      <c r="EL85" s="130">
        <f>(EL7-EL8)/EL120</f>
        <v>0.1449318581695643</v>
      </c>
      <c r="EM85" s="150"/>
      <c r="EP85" s="130">
        <f>(EP7-EP8)/EP120</f>
        <v>5.2837394258240494E-2</v>
      </c>
      <c r="EQ85" s="150"/>
      <c r="ET85" s="130">
        <f>(ET7-ET8)/ET120</f>
        <v>3.9360108114045167E-2</v>
      </c>
      <c r="EU85" s="150"/>
      <c r="EX85" s="130">
        <f>(EX7-EX8)/EX120</f>
        <v>3.636706978354433E-3</v>
      </c>
      <c r="EY85" s="130"/>
      <c r="FB85" s="130">
        <f>(FB7-FB8)/FB120</f>
        <v>3.9152049845250482E-2</v>
      </c>
      <c r="FC85" s="150"/>
      <c r="FF85" s="130">
        <f>(FF7-FF8)/FF120</f>
        <v>7.2674483445727411E-2</v>
      </c>
      <c r="FG85" s="150"/>
      <c r="FJ85" s="130">
        <f>(FJ7-FJ8)/FJ120</f>
        <v>8.9777640957118723E-2</v>
      </c>
      <c r="FK85" s="150"/>
      <c r="FN85" s="130">
        <f>(FN7-FN8)/FN120</f>
        <v>4.4247549607351229E-3</v>
      </c>
      <c r="FO85" s="150"/>
      <c r="FR85" s="130">
        <f>(FR7-FR8)/FR120</f>
        <v>0.22209487571826317</v>
      </c>
      <c r="FS85" s="150"/>
      <c r="FV85" s="130">
        <f>(FV7-FV8)/FV120</f>
        <v>2.6770169672759751E-2</v>
      </c>
      <c r="FW85" s="150"/>
      <c r="FZ85" s="130">
        <f>(FZ7-FZ8)/FZ120</f>
        <v>4.6310311102831597E-2</v>
      </c>
      <c r="GA85" s="150"/>
      <c r="GD85" s="130">
        <f>(GD7-GD8)/GD120</f>
        <v>-1.6709384510015742E-2</v>
      </c>
      <c r="GE85" s="150"/>
      <c r="GH85" s="130">
        <f>(GH7-GH8)/GH120</f>
        <v>4.4086337400839866E-3</v>
      </c>
      <c r="GI85" s="150"/>
      <c r="GL85" s="130">
        <f>(GL7-GL8)/GL120</f>
        <v>0.1335396492187661</v>
      </c>
      <c r="GM85" s="150"/>
      <c r="GP85" s="130">
        <f>(GP7-GP8)/GP120</f>
        <v>3.5773016335347949E-2</v>
      </c>
      <c r="GQ85" s="150"/>
      <c r="GT85" s="130">
        <f>(GT7-GT8)/GT120</f>
        <v>6.6224617345882902E-4</v>
      </c>
      <c r="GU85" s="150"/>
      <c r="GX85" s="130">
        <f>(GX7-GX8)/GX120</f>
        <v>7.2657695368005648E-2</v>
      </c>
      <c r="GY85" s="150"/>
      <c r="HB85" s="130">
        <f>(HB7-HB8)/HB120</f>
        <v>7.6263236661616284E-3</v>
      </c>
      <c r="HC85" s="150"/>
      <c r="HF85" s="130">
        <f>(HF7-HF8)/HF120</f>
        <v>-6.9286046865340619E-3</v>
      </c>
      <c r="HG85" s="130">
        <f>(HG7-HG8)/HG120</f>
        <v>1.3111465159154582E-3</v>
      </c>
      <c r="HH85" s="150"/>
    </row>
    <row r="86" spans="1:256" x14ac:dyDescent="0.2">
      <c r="B86" s="157" t="s">
        <v>273</v>
      </c>
      <c r="C86" s="117"/>
      <c r="D86" s="118"/>
      <c r="E86" s="130">
        <f>E7/E121</f>
        <v>7.2679637739090766E-2</v>
      </c>
      <c r="F86" s="130">
        <f>F7/F121</f>
        <v>7.5750800534787929E-2</v>
      </c>
      <c r="G86" s="130">
        <f>G7/G121</f>
        <v>7.7220932877617124E-2</v>
      </c>
      <c r="H86" s="130">
        <f>H7/H121</f>
        <v>7.8103047346488222E-2</v>
      </c>
      <c r="I86" s="130"/>
      <c r="J86" s="130">
        <f>J7/J121</f>
        <v>0</v>
      </c>
      <c r="K86" s="131"/>
      <c r="L86" s="130">
        <f>L7/L121</f>
        <v>6.2113464703978331E-3</v>
      </c>
      <c r="M86" s="130">
        <f>M7/M121</f>
        <v>5.0217477263740609E-2</v>
      </c>
      <c r="N86" s="130"/>
      <c r="O86" s="131"/>
      <c r="P86" s="130">
        <f>P7/P121</f>
        <v>0.11559790447454367</v>
      </c>
      <c r="Q86" s="130">
        <f>Q7/Q121</f>
        <v>0.12096212206016629</v>
      </c>
      <c r="R86" s="130">
        <f>R7/R121</f>
        <v>0.1206358555602301</v>
      </c>
      <c r="S86" s="130">
        <f>S7/S121</f>
        <v>0.13883014079287306</v>
      </c>
      <c r="T86" s="130"/>
      <c r="U86" s="130"/>
      <c r="V86" s="131"/>
      <c r="W86" s="130">
        <f>W7/W121</f>
        <v>0.14201085288544504</v>
      </c>
      <c r="X86" s="130">
        <f>X7/X121</f>
        <v>0.14098011034443705</v>
      </c>
      <c r="Y86" s="130">
        <f>Y7/Y121</f>
        <v>0.14830276506169662</v>
      </c>
      <c r="Z86" s="130">
        <f>Z7/Z121</f>
        <v>0.15123904851257755</v>
      </c>
      <c r="AA86" s="130"/>
      <c r="AB86" s="130"/>
      <c r="AC86" s="131"/>
      <c r="AD86" s="130">
        <f>AD7/AD121</f>
        <v>0.36065460138219468</v>
      </c>
      <c r="AE86" s="130">
        <f>AE7/AE121</f>
        <v>0.35978210589904902</v>
      </c>
      <c r="AF86" s="130"/>
      <c r="AG86" s="131"/>
      <c r="AH86" s="130">
        <f>AH7/AH121</f>
        <v>0.13951273203703987</v>
      </c>
      <c r="AI86" s="130">
        <f>AI7/AI121</f>
        <v>9.2331659631056134E-2</v>
      </c>
      <c r="AJ86" s="130"/>
      <c r="AK86" s="131"/>
      <c r="AL86" s="130">
        <f>AL7/AL121</f>
        <v>0.14075254396103681</v>
      </c>
      <c r="AM86" s="130">
        <f>AM7/AM121</f>
        <v>0.14325154911872787</v>
      </c>
      <c r="AN86" s="130"/>
      <c r="AO86" s="130"/>
      <c r="AP86" s="130"/>
      <c r="AQ86" s="131"/>
      <c r="AR86" s="130">
        <f>AR7/AR121</f>
        <v>0.17769341975453692</v>
      </c>
      <c r="AS86" s="130">
        <f>AS7/AS121</f>
        <v>0.1769662328378086</v>
      </c>
      <c r="AT86" s="130">
        <f>AT7/AT121</f>
        <v>0.18496363607733043</v>
      </c>
      <c r="AU86" s="130">
        <f>AU7/AU121</f>
        <v>0.17489386664292714</v>
      </c>
      <c r="AV86" s="130"/>
      <c r="AW86" s="130">
        <f>AW7/AW121</f>
        <v>0</v>
      </c>
      <c r="AX86" s="131"/>
      <c r="AY86" s="130">
        <f>AY7/AY121</f>
        <v>6.7013378145001079E-2</v>
      </c>
      <c r="AZ86" s="130">
        <f>AZ7/AZ121</f>
        <v>8.801451638540575E-2</v>
      </c>
      <c r="BA86" s="130">
        <f>BA7/BA121</f>
        <v>0</v>
      </c>
      <c r="BB86" s="131"/>
      <c r="BC86" s="130">
        <f>BC7/BC121</f>
        <v>0.20723244100253635</v>
      </c>
      <c r="BD86" s="130"/>
      <c r="BE86" s="130"/>
      <c r="BF86" s="131"/>
      <c r="BG86" s="130">
        <f>BG7/BG121</f>
        <v>0.15915098355624635</v>
      </c>
      <c r="BH86" s="130">
        <f>BH7/BH121</f>
        <v>0.14126777765838139</v>
      </c>
      <c r="BI86" s="130">
        <f>BI7/BI121</f>
        <v>0.10499024347440949</v>
      </c>
      <c r="BJ86" s="130">
        <f>BJ7/BJ121</f>
        <v>1.3146893469799626E-2</v>
      </c>
      <c r="BK86" s="130"/>
      <c r="BL86" s="130">
        <f>BL7/BL121</f>
        <v>0</v>
      </c>
      <c r="BM86" s="131"/>
      <c r="BN86" s="130">
        <f>BN7/BN121</f>
        <v>0.26057406937899336</v>
      </c>
      <c r="BO86" s="130">
        <f>BO7/BO121</f>
        <v>0.31500175391140062</v>
      </c>
      <c r="BP86" s="130">
        <f>BP7/BP121</f>
        <v>0.30623095933664329</v>
      </c>
      <c r="BQ86" s="130">
        <f>BQ7/BQ121</f>
        <v>0.25566032038141662</v>
      </c>
      <c r="BR86" s="130"/>
      <c r="BS86" s="130">
        <f>BS7/BS121</f>
        <v>0</v>
      </c>
      <c r="BT86" s="130"/>
      <c r="BU86" s="130">
        <f>BU7/BU121</f>
        <v>0.16789832281420977</v>
      </c>
      <c r="BV86" s="130">
        <f>BV7/BV121</f>
        <v>8.3135871134652733E-2</v>
      </c>
      <c r="BW86" s="130" t="e">
        <f>BW7/BW121</f>
        <v>#DIV/0!</v>
      </c>
      <c r="BX86" s="131"/>
      <c r="BY86" s="130" t="e">
        <f>BY7/BY121</f>
        <v>#DIV/0!</v>
      </c>
      <c r="BZ86" s="130" t="e">
        <f>BZ7/BZ121</f>
        <v>#DIV/0!</v>
      </c>
      <c r="CA86" s="130"/>
      <c r="CB86" s="131"/>
      <c r="CC86" s="130">
        <f>CC7/CC121</f>
        <v>0.13255347310024512</v>
      </c>
      <c r="CD86" s="130">
        <f>CD7/CD121</f>
        <v>8.6575843307397704E-2</v>
      </c>
      <c r="CE86" s="130">
        <f>CE7/CE121</f>
        <v>1.7484683413193969E-2</v>
      </c>
      <c r="CF86" s="130"/>
      <c r="CG86" s="130">
        <f>CG7/CG121</f>
        <v>0</v>
      </c>
      <c r="CH86" s="131"/>
      <c r="CI86" s="130">
        <f>CI7/CI121</f>
        <v>0.19826244617360428</v>
      </c>
      <c r="CJ86" s="130">
        <f>CJ7/CJ121</f>
        <v>0.19545741687245161</v>
      </c>
      <c r="CK86" s="130">
        <f>CK7/CK121</f>
        <v>0</v>
      </c>
      <c r="CL86" s="131"/>
      <c r="CM86" s="130">
        <f>CM7/CM121</f>
        <v>0.17772320286518292</v>
      </c>
      <c r="CN86" s="130">
        <f>CN7/CN121</f>
        <v>0.17224447554886363</v>
      </c>
      <c r="CO86" s="130"/>
      <c r="CP86" s="130"/>
      <c r="CQ86" s="130"/>
      <c r="CR86" s="130">
        <f>CR7/CR121</f>
        <v>0</v>
      </c>
      <c r="CS86" s="131"/>
      <c r="CT86" s="130">
        <f>CT7/CT121</f>
        <v>0.12835534846769187</v>
      </c>
      <c r="CU86" s="130">
        <f>CU7/CU121</f>
        <v>8.7805462480827337E-2</v>
      </c>
      <c r="CV86" s="130">
        <f>CV7/CV121</f>
        <v>0</v>
      </c>
      <c r="CW86" s="131"/>
      <c r="CX86" s="130">
        <f>CX7/CX121</f>
        <v>0.27620182447959418</v>
      </c>
      <c r="CY86" s="130">
        <f>CY7/CY121</f>
        <v>4.8236292360478134E-2</v>
      </c>
      <c r="CZ86" s="130"/>
      <c r="DA86" s="130"/>
      <c r="DB86" s="130">
        <f>DB7/DB121</f>
        <v>0</v>
      </c>
      <c r="DC86" s="131"/>
      <c r="DD86" s="130">
        <f>DD7/DD121</f>
        <v>0.20306646799735523</v>
      </c>
      <c r="DE86" s="130">
        <f>DE7/DE121</f>
        <v>0.20738216080889912</v>
      </c>
      <c r="DF86" s="130" t="e">
        <f>DF7/DF121</f>
        <v>#VALUE!</v>
      </c>
      <c r="DG86" s="131"/>
      <c r="DH86" s="130">
        <f>DH7/DH121</f>
        <v>0.13101664068929747</v>
      </c>
      <c r="DI86" s="130">
        <f>DI7/DI121</f>
        <v>0.11131401225562811</v>
      </c>
      <c r="DJ86" s="130"/>
      <c r="DK86" s="130"/>
      <c r="DL86" s="130"/>
      <c r="DM86" s="130">
        <f>DM7/DM121</f>
        <v>0</v>
      </c>
      <c r="DN86" s="131"/>
      <c r="DO86" s="130">
        <f>DO7/DO121</f>
        <v>0.16833031708328619</v>
      </c>
      <c r="DP86" s="130">
        <f>DP7/DP121</f>
        <v>0.14732147648845623</v>
      </c>
      <c r="DQ86" s="130"/>
      <c r="DR86" s="130"/>
      <c r="DS86" s="130"/>
      <c r="DT86" s="130">
        <f>DT7/DT121</f>
        <v>0</v>
      </c>
      <c r="DU86" s="131"/>
      <c r="DV86" s="130">
        <f>DV7/DV121</f>
        <v>0.15155479763173813</v>
      </c>
      <c r="DW86" s="130">
        <f>DW7/DW121</f>
        <v>0.16356682825478538</v>
      </c>
      <c r="DX86" s="130">
        <f>DX7/DX121</f>
        <v>0</v>
      </c>
      <c r="DY86" s="131"/>
      <c r="DZ86" s="130">
        <f>DZ7/DZ121</f>
        <v>0.13843127877342537</v>
      </c>
      <c r="EA86" s="130">
        <f>EA7/EA121</f>
        <v>0.13059569844737548</v>
      </c>
      <c r="EB86" s="130">
        <f>EB7/EB121</f>
        <v>0</v>
      </c>
      <c r="EC86" s="131"/>
      <c r="ED86" s="130">
        <f>ED7/ED121</f>
        <v>9.3964067704031831E-2</v>
      </c>
      <c r="EE86" s="130">
        <f>EE7/EE121</f>
        <v>8.015125510489006E-2</v>
      </c>
      <c r="EF86" s="130">
        <f>EF7/EF121</f>
        <v>0</v>
      </c>
      <c r="EG86" s="131"/>
      <c r="EH86" s="130">
        <f>EH7/EH121</f>
        <v>0.12485956956634146</v>
      </c>
      <c r="EI86" s="130">
        <f>EI7/EI121</f>
        <v>0.12950110416606547</v>
      </c>
      <c r="EJ86" s="130">
        <f>EJ7/EJ121</f>
        <v>0</v>
      </c>
      <c r="EK86" s="131"/>
      <c r="EL86" s="130">
        <f>EL7/EL121</f>
        <v>0.2668108558846139</v>
      </c>
      <c r="EM86" s="130">
        <f>EM7/EM121</f>
        <v>0.21992536712394964</v>
      </c>
      <c r="EN86" s="130">
        <f>EN7/EN121</f>
        <v>0</v>
      </c>
      <c r="EO86" s="131"/>
      <c r="EP86" s="130">
        <f>EP7/EP121</f>
        <v>0.20277023394562177</v>
      </c>
      <c r="EQ86" s="130">
        <f>EQ7/EQ121</f>
        <v>0.16519136628344966</v>
      </c>
      <c r="ER86" s="130">
        <f>ER7/ER121</f>
        <v>0</v>
      </c>
      <c r="ES86" s="131"/>
      <c r="ET86" s="130">
        <f>ET7/ET121</f>
        <v>0.10183935856530062</v>
      </c>
      <c r="EU86" s="130">
        <f>EU7/EU121</f>
        <v>9.7408533773611541E-2</v>
      </c>
      <c r="EV86" s="130">
        <f>EV7/EV121</f>
        <v>0</v>
      </c>
      <c r="EW86" s="131"/>
      <c r="EX86" s="130">
        <f>EX7/EX121</f>
        <v>5.499729297184096E-3</v>
      </c>
      <c r="EY86" s="130" t="e">
        <f>EY7/EY121</f>
        <v>#DIV/0!</v>
      </c>
      <c r="EZ86" s="130">
        <f>EZ7/EZ121</f>
        <v>0</v>
      </c>
      <c r="FA86" s="131"/>
      <c r="FB86" s="130">
        <f>FB7/FB121</f>
        <v>6.5556841309302102E-2</v>
      </c>
      <c r="FC86" s="130">
        <f>FC7/FC121</f>
        <v>2.4243405312886091E-2</v>
      </c>
      <c r="FD86" s="130">
        <f>FD7/FD121</f>
        <v>0</v>
      </c>
      <c r="FE86" s="131"/>
      <c r="FF86" s="130">
        <f>FF7/FF121</f>
        <v>0.13341503845640168</v>
      </c>
      <c r="FG86" s="130">
        <f>FG7/FG121</f>
        <v>0.13714335830207258</v>
      </c>
      <c r="FH86" s="130">
        <f>FH7/FH121</f>
        <v>0</v>
      </c>
      <c r="FI86" s="131"/>
      <c r="FJ86" s="130">
        <f>FJ7/FJ121</f>
        <v>0.16850983526663096</v>
      </c>
      <c r="FK86" s="130">
        <f>FK7/FK121</f>
        <v>0.11607023162673624</v>
      </c>
      <c r="FL86" s="130">
        <f>FL7/FL121</f>
        <v>0</v>
      </c>
      <c r="FM86" s="131"/>
      <c r="FN86" s="130">
        <f>FN7/FN121</f>
        <v>6.81899284730485E-2</v>
      </c>
      <c r="FO86" s="130">
        <f>FO7/FO121</f>
        <v>3.9412106810397161E-2</v>
      </c>
      <c r="FP86" s="130">
        <f>FP7/FP121</f>
        <v>0</v>
      </c>
      <c r="FQ86" s="131"/>
      <c r="FR86" s="130">
        <f>FR7/FR121</f>
        <v>0.36392827325795352</v>
      </c>
      <c r="FS86" s="130">
        <f>FS7/FS121</f>
        <v>0.19344032039091039</v>
      </c>
      <c r="FT86" s="130">
        <f>FT7/FT121</f>
        <v>0</v>
      </c>
      <c r="FU86" s="131"/>
      <c r="FV86" s="130">
        <f>FV7/FV121</f>
        <v>7.6047300778391572E-2</v>
      </c>
      <c r="FW86" s="130">
        <f>FW7/FW121</f>
        <v>0.12626670327716832</v>
      </c>
      <c r="FX86" s="130">
        <f>FX7/FX121</f>
        <v>0</v>
      </c>
      <c r="FY86" s="131"/>
      <c r="FZ86" s="130">
        <f>FZ7/FZ121</f>
        <v>0.11066145044530594</v>
      </c>
      <c r="GA86" s="130">
        <f>GA7/GA121</f>
        <v>0.11258712055757157</v>
      </c>
      <c r="GB86" s="130">
        <f>GB7/GB121</f>
        <v>0</v>
      </c>
      <c r="GC86" s="131"/>
      <c r="GD86" s="130">
        <f>GD7/GD121</f>
        <v>8.5235032909411618E-2</v>
      </c>
      <c r="GE86" s="130">
        <f>GE7/GE121</f>
        <v>0.23700016359344692</v>
      </c>
      <c r="GF86" s="130">
        <f>GF7/GF121</f>
        <v>0</v>
      </c>
      <c r="GG86" s="131"/>
      <c r="GH86" s="130">
        <f>GH7/GH121</f>
        <v>0.11572067775764605</v>
      </c>
      <c r="GI86" s="130">
        <f>GI7/GI121</f>
        <v>9.1567699281134632E-2</v>
      </c>
      <c r="GJ86" s="130">
        <f>GJ7/GJ121</f>
        <v>0</v>
      </c>
      <c r="GK86" s="131"/>
      <c r="GL86" s="130">
        <f>GL7/GL121</f>
        <v>0.29293356317852698</v>
      </c>
      <c r="GM86" s="130">
        <f>GM7/GM121</f>
        <v>6.861353585197158E-2</v>
      </c>
      <c r="GN86" s="130">
        <f>GN7/GN121</f>
        <v>0</v>
      </c>
      <c r="GO86" s="131"/>
      <c r="GP86" s="130">
        <f>GP7/GP121</f>
        <v>0.10004706217847802</v>
      </c>
      <c r="GQ86" s="130">
        <f>GQ7/GQ121</f>
        <v>7.3520776343060812E-2</v>
      </c>
      <c r="GR86" s="130">
        <f>GR7/GR121</f>
        <v>0</v>
      </c>
      <c r="GS86" s="131"/>
      <c r="GT86" s="130">
        <f>GT7/GT121</f>
        <v>2.5719550055107312E-2</v>
      </c>
      <c r="GU86" s="130" t="e">
        <f>GU7/GU121</f>
        <v>#DIV/0!</v>
      </c>
      <c r="GV86" s="130">
        <f>GV7/GV121</f>
        <v>0</v>
      </c>
      <c r="GW86" s="131"/>
      <c r="GX86" s="130">
        <f>GX7/GX121</f>
        <v>0.16558188388279521</v>
      </c>
      <c r="GY86" s="130">
        <f>GY7/GY121</f>
        <v>0.15348986120218494</v>
      </c>
      <c r="GZ86" s="130">
        <f>GZ7/GZ121</f>
        <v>0</v>
      </c>
      <c r="HA86" s="131"/>
      <c r="HB86" s="130">
        <f>HB7/HB121</f>
        <v>0.11808016411389945</v>
      </c>
      <c r="HC86" s="130" t="e">
        <f>HC7/HC121</f>
        <v>#DIV/0!</v>
      </c>
      <c r="HD86" s="130">
        <f>HD7/HD121</f>
        <v>0</v>
      </c>
      <c r="HE86" s="131"/>
      <c r="HF86" s="130">
        <f>HF7/HF121</f>
        <v>8.302348772658634E-2</v>
      </c>
      <c r="HG86" s="130">
        <f>HG7/HG121</f>
        <v>0.10063430156464803</v>
      </c>
      <c r="HH86" s="130">
        <f>HH7/HH121</f>
        <v>3.3980263082183514E-2</v>
      </c>
    </row>
    <row r="87" spans="1:256" x14ac:dyDescent="0.2">
      <c r="B87" s="157" t="s">
        <v>274</v>
      </c>
      <c r="C87" s="117"/>
      <c r="D87" s="118"/>
      <c r="E87" s="130">
        <f>E8/E125</f>
        <v>5.4143971105766811E-2</v>
      </c>
      <c r="F87" s="130">
        <f>F8/F125</f>
        <v>5.2036931830734386E-2</v>
      </c>
      <c r="G87" s="130">
        <f>G8/G125</f>
        <v>5.4235149534663782E-2</v>
      </c>
      <c r="H87" s="130">
        <f>H8/H125</f>
        <v>6.0021514136129037E-2</v>
      </c>
      <c r="I87" s="130"/>
      <c r="J87" s="130">
        <f>J8/J125</f>
        <v>0</v>
      </c>
      <c r="K87" s="131"/>
      <c r="L87" s="130">
        <f>L8/L125</f>
        <v>7.594628295351314E-5</v>
      </c>
      <c r="M87" s="130">
        <f>M8/M125</f>
        <v>0</v>
      </c>
      <c r="N87" s="130"/>
      <c r="O87" s="131"/>
      <c r="P87" s="130">
        <f>P8/P125</f>
        <v>8.1449043876068536E-2</v>
      </c>
      <c r="Q87" s="130">
        <f>Q8/Q125</f>
        <v>7.7288801134321822E-2</v>
      </c>
      <c r="R87" s="130">
        <f>R8/R125</f>
        <v>8.5737024120911332E-2</v>
      </c>
      <c r="S87" s="130">
        <f>S8/S125</f>
        <v>0.10148624085765143</v>
      </c>
      <c r="T87" s="130"/>
      <c r="U87" s="130"/>
      <c r="V87" s="131"/>
      <c r="W87" s="130">
        <f>W8/W125</f>
        <v>7.217367495166542E-2</v>
      </c>
      <c r="X87" s="130">
        <f>X8/X125</f>
        <v>7.6006090764294792E-2</v>
      </c>
      <c r="Y87" s="130">
        <f>Y8/Y125</f>
        <v>7.1441837831396779E-2</v>
      </c>
      <c r="Z87" s="130">
        <f>Z8/Z125</f>
        <v>7.1714544489539414E-2</v>
      </c>
      <c r="AA87" s="130"/>
      <c r="AB87" s="130"/>
      <c r="AC87" s="131"/>
      <c r="AD87" s="130">
        <f>AD8/AD125</f>
        <v>0.16205886047586804</v>
      </c>
      <c r="AE87" s="130">
        <f>AE8/AE125</f>
        <v>0.1433070008336742</v>
      </c>
      <c r="AF87" s="130"/>
      <c r="AG87" s="131"/>
      <c r="AH87" s="130">
        <f>AH8/AH125</f>
        <v>8.2476085641506186E-2</v>
      </c>
      <c r="AI87" s="130">
        <f>AI8/AI125</f>
        <v>5.0015210865673253E-2</v>
      </c>
      <c r="AJ87" s="130"/>
      <c r="AK87" s="131"/>
      <c r="AL87" s="130">
        <f>AL8/AL125</f>
        <v>9.6423830076443492E-2</v>
      </c>
      <c r="AM87" s="130">
        <f>AM8/AM125</f>
        <v>9.9092132827995991E-2</v>
      </c>
      <c r="AN87" s="130"/>
      <c r="AO87" s="130"/>
      <c r="AP87" s="130"/>
      <c r="AQ87" s="131"/>
      <c r="AR87" s="130">
        <f>AR8/AR125</f>
        <v>8.4564815660601075E-2</v>
      </c>
      <c r="AS87" s="130">
        <f>AS8/AS125</f>
        <v>8.5401093089422744E-2</v>
      </c>
      <c r="AT87" s="130">
        <f>AT8/AT125</f>
        <v>0.10399369941947485</v>
      </c>
      <c r="AU87" s="130">
        <f>AU8/AU125</f>
        <v>0.10770628730438567</v>
      </c>
      <c r="AV87" s="130"/>
      <c r="AW87" s="130">
        <f>AW8/AW125</f>
        <v>0</v>
      </c>
      <c r="AX87" s="131"/>
      <c r="AY87" s="130">
        <f>AY8/AY125</f>
        <v>6.6247325052493852E-2</v>
      </c>
      <c r="AZ87" s="130">
        <f>AZ8/AZ125</f>
        <v>8.8142147304402174E-2</v>
      </c>
      <c r="BA87" s="130" t="e">
        <f>BA8/BA125</f>
        <v>#DIV/0!</v>
      </c>
      <c r="BB87" s="131"/>
      <c r="BC87" s="130">
        <f>BC8/BC125</f>
        <v>0.12527080249325973</v>
      </c>
      <c r="BD87" s="130"/>
      <c r="BE87" s="130"/>
      <c r="BF87" s="131"/>
      <c r="BG87" s="130">
        <f>BG8/BG125</f>
        <v>9.6256365759976897E-2</v>
      </c>
      <c r="BH87" s="130">
        <f>BH8/BH125</f>
        <v>9.8845515270859885E-2</v>
      </c>
      <c r="BI87" s="130">
        <f>BI8/BI125</f>
        <v>0.11915177388236434</v>
      </c>
      <c r="BJ87" s="130">
        <f>BJ8/BJ125</f>
        <v>0.18688024408848208</v>
      </c>
      <c r="BK87" s="130"/>
      <c r="BL87" s="130">
        <f>BL8/BL125</f>
        <v>0</v>
      </c>
      <c r="BM87" s="131"/>
      <c r="BN87" s="130">
        <f>BN8/BN125</f>
        <v>0.10084827918893909</v>
      </c>
      <c r="BO87" s="130">
        <f>BO8/BO125</f>
        <v>0.13326559721575643</v>
      </c>
      <c r="BP87" s="130">
        <f>BP8/BP125</f>
        <v>0.5819181528372751</v>
      </c>
      <c r="BQ87" s="158" t="e">
        <f>BQ8/BQ125</f>
        <v>#DIV/0!</v>
      </c>
      <c r="BR87" s="130"/>
      <c r="BS87" s="130">
        <f>BS8/BS125</f>
        <v>0</v>
      </c>
      <c r="BT87" s="130"/>
      <c r="BU87" s="130">
        <f>BU8/BU125</f>
        <v>0.10606180885457336</v>
      </c>
      <c r="BV87" s="130">
        <f>BV8/BV125</f>
        <v>6.6118891094898768E-2</v>
      </c>
      <c r="BW87" s="130">
        <f>BW8/BW125</f>
        <v>0</v>
      </c>
      <c r="BX87" s="131"/>
      <c r="BY87" s="130">
        <f>BY8/BY125</f>
        <v>6.2266116276378229E-2</v>
      </c>
      <c r="BZ87" s="130">
        <f>BZ8/BZ125</f>
        <v>6.2469026317848668E-2</v>
      </c>
      <c r="CA87" s="130"/>
      <c r="CB87" s="131"/>
      <c r="CC87" s="130">
        <f>CC8/CC125</f>
        <v>8.4192920846837577E-2</v>
      </c>
      <c r="CD87" s="130">
        <f>CD8/CD125</f>
        <v>5.4740302076401036E-2</v>
      </c>
      <c r="CE87" s="130">
        <f>CE8/CE125</f>
        <v>1.0543065460509078E-2</v>
      </c>
      <c r="CF87" s="130"/>
      <c r="CG87" s="130">
        <f>CG8/CG125</f>
        <v>0</v>
      </c>
      <c r="CH87" s="131"/>
      <c r="CI87" s="130">
        <f>CI8/CI125</f>
        <v>5.8884254862286822E-2</v>
      </c>
      <c r="CJ87" s="130">
        <f>CJ8/CJ125</f>
        <v>4.1930438668354809E-2</v>
      </c>
      <c r="CK87" s="130">
        <f>CK8/CK125</f>
        <v>0</v>
      </c>
      <c r="CL87" s="131"/>
      <c r="CM87" s="130">
        <f>CM8/CM125</f>
        <v>8.0324118144871531E-2</v>
      </c>
      <c r="CN87" s="130">
        <f>CN8/CN125</f>
        <v>7.5110405524423274E-2</v>
      </c>
      <c r="CO87" s="130"/>
      <c r="CP87" s="130"/>
      <c r="CQ87" s="130"/>
      <c r="CR87" s="130">
        <f>CR8/CR125</f>
        <v>0</v>
      </c>
      <c r="CS87" s="131"/>
      <c r="CT87" s="130">
        <f>CT8/CT125</f>
        <v>9.1506729174049645E-2</v>
      </c>
      <c r="CU87" s="130">
        <f>CU8/CU125</f>
        <v>8.47854278082599E-2</v>
      </c>
      <c r="CV87" s="130">
        <f>CV8/CV125</f>
        <v>0</v>
      </c>
      <c r="CW87" s="131"/>
      <c r="CX87" s="130">
        <f>CX8/CX125</f>
        <v>0.1138807497248029</v>
      </c>
      <c r="CY87" s="130">
        <f>CY8/CY125</f>
        <v>1.7776056732116272E-2</v>
      </c>
      <c r="CZ87" s="130"/>
      <c r="DA87" s="130"/>
      <c r="DB87" s="130">
        <f>DB8/DB125</f>
        <v>0</v>
      </c>
      <c r="DC87" s="131"/>
      <c r="DD87" s="130">
        <f>DD8/DD125</f>
        <v>0.11550654040568337</v>
      </c>
      <c r="DE87" s="130">
        <f>DE8/DE125</f>
        <v>0.11995580980306422</v>
      </c>
      <c r="DF87" s="130">
        <f>DF8/DF125</f>
        <v>0</v>
      </c>
      <c r="DG87" s="131"/>
      <c r="DH87" s="130">
        <f>DH8/DH125</f>
        <v>8.9738833089509681E-2</v>
      </c>
      <c r="DI87" s="130">
        <f>DI8/DI125</f>
        <v>7.6662925363890397E-2</v>
      </c>
      <c r="DJ87" s="130"/>
      <c r="DK87" s="130"/>
      <c r="DL87" s="130"/>
      <c r="DM87" s="130">
        <f>DM8/DM125</f>
        <v>0</v>
      </c>
      <c r="DN87" s="131"/>
      <c r="DO87" s="130">
        <f>DO8/DO125</f>
        <v>8.1732786176553898E-2</v>
      </c>
      <c r="DP87" s="130">
        <f>DP8/DP125</f>
        <v>6.8952278961220026E-2</v>
      </c>
      <c r="DQ87" s="130"/>
      <c r="DR87" s="130"/>
      <c r="DS87" s="130"/>
      <c r="DT87" s="130">
        <f>DT8/DT125</f>
        <v>0</v>
      </c>
      <c r="DU87" s="131"/>
      <c r="DV87" s="130">
        <f>DV8/DV125</f>
        <v>7.8243219051604487E-2</v>
      </c>
      <c r="DW87" s="130">
        <f>DW8/DW125</f>
        <v>7.6611515796243035E-2</v>
      </c>
      <c r="DX87" s="130">
        <f>DX8/DX125</f>
        <v>0</v>
      </c>
      <c r="DY87" s="131"/>
      <c r="DZ87" s="130">
        <f>DZ8/DZ125</f>
        <v>7.838362972150377E-2</v>
      </c>
      <c r="EA87" s="130">
        <f>EA8/EA125</f>
        <v>7.1226468761482351E-2</v>
      </c>
      <c r="EB87" s="130">
        <f>EB8/EB125</f>
        <v>0</v>
      </c>
      <c r="EC87" s="131"/>
      <c r="ED87" s="130">
        <f>ED8/ED125</f>
        <v>6.7187587602107787E-2</v>
      </c>
      <c r="EE87" s="130">
        <f>EE8/EE125</f>
        <v>5.8002661469025045E-2</v>
      </c>
      <c r="EF87" s="130">
        <f>EF8/EF125</f>
        <v>0</v>
      </c>
      <c r="EG87" s="131"/>
      <c r="EH87" s="130">
        <f>EH8/EH125</f>
        <v>4.3048304649050954E-2</v>
      </c>
      <c r="EI87" s="130">
        <f>EI8/EI125</f>
        <v>5.6607073444749148E-2</v>
      </c>
      <c r="EJ87" s="130">
        <f>EJ8/EJ125</f>
        <v>0</v>
      </c>
      <c r="EK87" s="131"/>
      <c r="EL87" s="130">
        <f>EL8/EL125</f>
        <v>8.0978663810857568E-2</v>
      </c>
      <c r="EM87" s="130">
        <f>EM8/EM125</f>
        <v>3.5263058646049408E-2</v>
      </c>
      <c r="EN87" s="130">
        <f>EN8/EN125</f>
        <v>0</v>
      </c>
      <c r="EO87" s="131"/>
      <c r="EP87" s="130">
        <f>EP8/EP125</f>
        <v>7.5887878843861473E-2</v>
      </c>
      <c r="EQ87" s="130">
        <f>EQ8/EQ125</f>
        <v>5.8105416156130532E-2</v>
      </c>
      <c r="ER87" s="130">
        <f>ER8/ER125</f>
        <v>0</v>
      </c>
      <c r="ES87" s="131"/>
      <c r="ET87" s="130">
        <f>ET8/ET125</f>
        <v>7.103740061510648E-2</v>
      </c>
      <c r="EU87" s="130">
        <f>EU8/EU125</f>
        <v>5.9971690739705819E-2</v>
      </c>
      <c r="EV87" s="130">
        <f>EV8/EV125</f>
        <v>0</v>
      </c>
      <c r="EW87" s="131"/>
      <c r="EX87" s="130">
        <f>EX8/EX125</f>
        <v>0</v>
      </c>
      <c r="EY87" s="130" t="e">
        <f>EY8/EY125</f>
        <v>#DIV/0!</v>
      </c>
      <c r="EZ87" s="130">
        <f>EZ8/EZ125</f>
        <v>0</v>
      </c>
      <c r="FA87" s="131"/>
      <c r="FB87" s="130">
        <f>FB8/FB125</f>
        <v>4.4947524685625996E-2</v>
      </c>
      <c r="FC87" s="130">
        <f>FC8/FC125</f>
        <v>2.3989859082946378E-2</v>
      </c>
      <c r="FD87" s="130">
        <f>FD8/FD125</f>
        <v>0</v>
      </c>
      <c r="FE87" s="131"/>
      <c r="FF87" s="130">
        <f>FF8/FF125</f>
        <v>6.5286508813565458E-2</v>
      </c>
      <c r="FG87" s="130">
        <f>FG8/FG125</f>
        <v>6.9517299362126E-2</v>
      </c>
      <c r="FH87" s="130">
        <f>FH8/FH125</f>
        <v>0</v>
      </c>
      <c r="FI87" s="131"/>
      <c r="FJ87" s="130">
        <f>FJ8/FJ125</f>
        <v>8.7999317519126236E-2</v>
      </c>
      <c r="FK87" s="130">
        <f>FK8/FK125</f>
        <v>6.6972055665914285E-2</v>
      </c>
      <c r="FL87" s="130">
        <f>FL8/FL125</f>
        <v>0</v>
      </c>
      <c r="FM87" s="131"/>
      <c r="FN87" s="130">
        <f>FN8/FN125</f>
        <v>6.5938792979020819E-2</v>
      </c>
      <c r="FO87" s="130">
        <f>FO8/FO125</f>
        <v>3.6907467832923209E-2</v>
      </c>
      <c r="FP87" s="130">
        <f>FP8/FP125</f>
        <v>0</v>
      </c>
      <c r="FQ87" s="131"/>
      <c r="FR87" s="130">
        <f>FR8/FR125</f>
        <v>9.6489347348383617E-2</v>
      </c>
      <c r="FS87" s="130">
        <f>FS8/FS125</f>
        <v>8.1389700794218131E-2</v>
      </c>
      <c r="FT87" s="130">
        <f>FT8/FT125</f>
        <v>0</v>
      </c>
      <c r="FU87" s="131"/>
      <c r="FV87" s="130">
        <f>FV8/FV125</f>
        <v>5.4907724928494786E-2</v>
      </c>
      <c r="FW87" s="130">
        <f>FW8/FW125</f>
        <v>7.4454124383660114E-2</v>
      </c>
      <c r="FX87" s="130">
        <f>FX8/FX125</f>
        <v>0</v>
      </c>
      <c r="FY87" s="131"/>
      <c r="FZ87" s="130">
        <f>FZ8/FZ125</f>
        <v>6.6866376577088757E-2</v>
      </c>
      <c r="GA87" s="130">
        <f>GA8/GA125</f>
        <v>7.0404104306228385E-2</v>
      </c>
      <c r="GB87" s="130">
        <f>GB8/GB125</f>
        <v>0</v>
      </c>
      <c r="GC87" s="131"/>
      <c r="GD87" s="130">
        <f>GD8/GD125</f>
        <v>3.4868906547081809E-2</v>
      </c>
      <c r="GE87" s="130">
        <f>GE8/GE125</f>
        <v>0</v>
      </c>
      <c r="GF87" s="130">
        <f>GF8/GF125</f>
        <v>0</v>
      </c>
      <c r="GG87" s="131"/>
      <c r="GH87" s="130">
        <f>GH8/GH125</f>
        <v>8.1249467060896252E-2</v>
      </c>
      <c r="GI87" s="130">
        <f>GI8/GI125</f>
        <v>6.3227890136288184E-2</v>
      </c>
      <c r="GJ87" s="130">
        <f>GJ8/GJ125</f>
        <v>0</v>
      </c>
      <c r="GK87" s="131"/>
      <c r="GL87" s="130">
        <f>GL8/GL125</f>
        <v>0.14483206875864893</v>
      </c>
      <c r="GM87" s="130">
        <f>GM8/GM125</f>
        <v>0.10125055364475964</v>
      </c>
      <c r="GN87" s="130">
        <f>GN8/GN125</f>
        <v>0</v>
      </c>
      <c r="GO87" s="131"/>
      <c r="GP87" s="130">
        <f>GP8/GP125</f>
        <v>4.8670056198897721E-2</v>
      </c>
      <c r="GQ87" s="130">
        <f>GQ8/GQ125</f>
        <v>1.6993501433402204E-2</v>
      </c>
      <c r="GR87" s="130">
        <f>GR8/GR125</f>
        <v>0</v>
      </c>
      <c r="GS87" s="131"/>
      <c r="GT87" s="130">
        <f>GT8/GT125</f>
        <v>2.4796348431591397E-2</v>
      </c>
      <c r="GU87" s="130" t="e">
        <f>GU8/GU125</f>
        <v>#DIV/0!</v>
      </c>
      <c r="GV87" s="130">
        <f>GV8/GV125</f>
        <v>0</v>
      </c>
      <c r="GW87" s="131"/>
      <c r="GX87" s="130">
        <f>GX8/GX125</f>
        <v>8.1321489109994427E-2</v>
      </c>
      <c r="GY87" s="130">
        <f>GY8/GY125</f>
        <v>7.0026144766896878E-2</v>
      </c>
      <c r="GZ87" s="130">
        <f>GZ8/GZ125</f>
        <v>0</v>
      </c>
      <c r="HA87" s="131"/>
      <c r="HB87" s="130">
        <f>HB8/HB125</f>
        <v>0.10650795841757063</v>
      </c>
      <c r="HC87" s="130" t="e">
        <f>HC8/HC125</f>
        <v>#DIV/0!</v>
      </c>
      <c r="HD87" s="130">
        <f>HD8/HD125</f>
        <v>0</v>
      </c>
      <c r="HE87" s="131"/>
      <c r="HF87" s="130">
        <f>HF8/HF125</f>
        <v>9.0461838527930799E-2</v>
      </c>
      <c r="HG87" s="130">
        <f>HG8/HG125</f>
        <v>9.9395583345247965E-2</v>
      </c>
      <c r="HH87" s="130">
        <f>HH8/HH125</f>
        <v>3.6804274858437319E-2</v>
      </c>
    </row>
    <row r="88" spans="1:256" x14ac:dyDescent="0.2">
      <c r="B88" s="157" t="s">
        <v>275</v>
      </c>
      <c r="C88" s="117"/>
      <c r="D88" s="118"/>
      <c r="E88" s="130">
        <f>E14/(E14+E9)</f>
        <v>0.62258828578054659</v>
      </c>
      <c r="F88" s="130">
        <f>F14/(F14+F9)</f>
        <v>0.61964246111181265</v>
      </c>
      <c r="G88" s="130">
        <f>G14/(G14+G9)</f>
        <v>0.71684028815647671</v>
      </c>
      <c r="H88" s="130">
        <f>H14/(H14+H9)</f>
        <v>0.8856753436139283</v>
      </c>
      <c r="I88" s="130"/>
      <c r="J88" s="130" t="e">
        <f>J14/(J14+J9)</f>
        <v>#DIV/0!</v>
      </c>
      <c r="K88" s="131"/>
      <c r="L88" s="130">
        <f>L14/(L14+L9)</f>
        <v>0.21893824958596453</v>
      </c>
      <c r="M88" s="130">
        <f>M14/(M14+M9)</f>
        <v>0.16993464052287582</v>
      </c>
      <c r="N88" s="130"/>
      <c r="O88" s="131"/>
      <c r="P88" s="130">
        <f>P14/(P14+P9)</f>
        <v>5.5234451342821816E-2</v>
      </c>
      <c r="Q88" s="130">
        <f>Q14/(Q14+Q9)</f>
        <v>0.13223953004391917</v>
      </c>
      <c r="R88" s="130">
        <f>R14/(R14+R9)</f>
        <v>0.26033907647511734</v>
      </c>
      <c r="S88" s="130">
        <f>S14/(S14+S9)</f>
        <v>0.31928867861848365</v>
      </c>
      <c r="T88" s="130"/>
      <c r="U88" s="130"/>
      <c r="V88" s="131"/>
      <c r="W88" s="130">
        <f>W14/(W14+W9)</f>
        <v>3.7894426029946165E-2</v>
      </c>
      <c r="X88" s="130">
        <f>X14/(X14+X9)</f>
        <v>0.10027689873417722</v>
      </c>
      <c r="Y88" s="130">
        <f>Y14/(Y14+Y9)</f>
        <v>1.1239975656275455E-2</v>
      </c>
      <c r="Z88" s="130">
        <f>Z14/(Z14+Z9)</f>
        <v>1.3315316363102144E-2</v>
      </c>
      <c r="AA88" s="130"/>
      <c r="AB88" s="130"/>
      <c r="AC88" s="131"/>
      <c r="AD88" s="130">
        <f>AD14/(AD14+AD9)</f>
        <v>0.56258675010113746</v>
      </c>
      <c r="AE88" s="130">
        <f>AE14/(AE14+AE9)</f>
        <v>0.53713422259274701</v>
      </c>
      <c r="AF88" s="130"/>
      <c r="AG88" s="131"/>
      <c r="AH88" s="130">
        <f>AH14/(AH14+AH9)</f>
        <v>0.63859157012595325</v>
      </c>
      <c r="AI88" s="130">
        <f>AI14/(AI14+AI9)</f>
        <v>0.62801452396748769</v>
      </c>
      <c r="AJ88" s="130"/>
      <c r="AK88" s="131"/>
      <c r="AL88" s="130">
        <f>AL14/(AL14+AL9)</f>
        <v>0.64289681039746449</v>
      </c>
      <c r="AM88" s="130">
        <f>AM14/(AM14+AM9)</f>
        <v>0.79188428910980935</v>
      </c>
      <c r="AN88" s="130"/>
      <c r="AO88" s="130"/>
      <c r="AP88" s="130"/>
      <c r="AQ88" s="131"/>
      <c r="AR88" s="130">
        <f>AR14/(AR14+AR9)</f>
        <v>0.17411188659750301</v>
      </c>
      <c r="AS88" s="130">
        <f>AS14/(AS14+AS9)</f>
        <v>0.142287540861575</v>
      </c>
      <c r="AT88" s="130">
        <f>AT14/(AT14+AT9)</f>
        <v>0.10899626767572959</v>
      </c>
      <c r="AU88" s="130">
        <f>AU14/(AU14+AU9)</f>
        <v>0.1364699900978506</v>
      </c>
      <c r="AV88" s="130"/>
      <c r="AW88" s="130" t="e">
        <f>AW14/(AW14+AW9)</f>
        <v>#DIV/0!</v>
      </c>
      <c r="AX88" s="131"/>
      <c r="AY88" s="130">
        <f>AY14/(AY14+AY9)</f>
        <v>0</v>
      </c>
      <c r="AZ88" s="130">
        <f>AZ14/(AZ14+AZ9)</f>
        <v>0</v>
      </c>
      <c r="BA88" s="130" t="e">
        <f>BA14/(BA14+BA9)</f>
        <v>#DIV/0!</v>
      </c>
      <c r="BB88" s="131"/>
      <c r="BC88" s="130">
        <f>BC14/(BC14+BC9)</f>
        <v>0</v>
      </c>
      <c r="BD88" s="130"/>
      <c r="BE88" s="130"/>
      <c r="BF88" s="131"/>
      <c r="BG88" s="130">
        <f>BG14/(BG14+BG9)</f>
        <v>0.66958272582100953</v>
      </c>
      <c r="BH88" s="130">
        <f>BH14/(BH14+BH9)</f>
        <v>0.83158194851743239</v>
      </c>
      <c r="BI88" s="130">
        <f>BI14/(BI14+BI9)</f>
        <v>0.73327436982753169</v>
      </c>
      <c r="BJ88" s="130">
        <f>BJ14/(BJ14+BJ9)</f>
        <v>0.87456846950517841</v>
      </c>
      <c r="BK88" s="130"/>
      <c r="BL88" s="130" t="e">
        <f>BL14/(BL14+BL9)</f>
        <v>#DIV/0!</v>
      </c>
      <c r="BM88" s="131"/>
      <c r="BN88" s="130">
        <f>BN14/(BN14+BN9)</f>
        <v>0.35931175829184692</v>
      </c>
      <c r="BO88" s="130">
        <f>BO14/(BO14+BO9)</f>
        <v>0.38896334494564389</v>
      </c>
      <c r="BP88" s="130">
        <f>BP14/(BP14+BP9)</f>
        <v>0.28252858262055153</v>
      </c>
      <c r="BQ88" s="130">
        <f>BQ14/(BQ14+BQ9)</f>
        <v>0.48775329491387576</v>
      </c>
      <c r="BR88" s="130"/>
      <c r="BS88" s="130" t="e">
        <f t="shared" ref="BS88:BZ88" si="7">BS14/(BS14+BS9)</f>
        <v>#DIV/0!</v>
      </c>
      <c r="BT88" s="130"/>
      <c r="BU88" s="130">
        <f t="shared" si="7"/>
        <v>0.14785818594840172</v>
      </c>
      <c r="BV88" s="130">
        <f t="shared" si="7"/>
        <v>0.30963268773024921</v>
      </c>
      <c r="BW88" s="130" t="e">
        <f t="shared" si="7"/>
        <v>#DIV/0!</v>
      </c>
      <c r="BX88" s="131"/>
      <c r="BY88" s="130">
        <f t="shared" si="7"/>
        <v>1.4637042712124113</v>
      </c>
      <c r="BZ88" s="130">
        <f t="shared" si="7"/>
        <v>1.5321039768940234</v>
      </c>
      <c r="CA88" s="130"/>
      <c r="CB88" s="131"/>
      <c r="CC88" s="130">
        <f>CC14/(CC14+CC9)</f>
        <v>0.47440612418586003</v>
      </c>
      <c r="CD88" s="130">
        <f>CD14/(CD14+CD9)</f>
        <v>0.76455910220217693</v>
      </c>
      <c r="CE88" s="130">
        <f>CE14/(CE14+CE9)</f>
        <v>0.95464001672977727</v>
      </c>
      <c r="CF88" s="130"/>
      <c r="CG88" s="130" t="e">
        <f t="shared" ref="CG88:CN88" si="8">CG14/(CG14+CG9)</f>
        <v>#DIV/0!</v>
      </c>
      <c r="CH88" s="131"/>
      <c r="CI88" s="130">
        <f t="shared" si="8"/>
        <v>0.22368246382583301</v>
      </c>
      <c r="CJ88" s="130">
        <f t="shared" si="8"/>
        <v>0.17549187904397201</v>
      </c>
      <c r="CK88" s="130" t="e">
        <f t="shared" si="8"/>
        <v>#DIV/0!</v>
      </c>
      <c r="CL88" s="131"/>
      <c r="CM88" s="130">
        <f t="shared" si="8"/>
        <v>2.9767913679313678E-2</v>
      </c>
      <c r="CN88" s="130">
        <f t="shared" si="8"/>
        <v>2.6264541169494723E-2</v>
      </c>
      <c r="CO88" s="130"/>
      <c r="CP88" s="130"/>
      <c r="CQ88" s="130"/>
      <c r="CR88" s="130" t="e">
        <f t="shared" ref="CR88:CY88" si="9">CR14/(CR14+CR9)</f>
        <v>#DIV/0!</v>
      </c>
      <c r="CS88" s="131"/>
      <c r="CT88" s="130">
        <f t="shared" si="9"/>
        <v>0.51796338239194994</v>
      </c>
      <c r="CU88" s="130">
        <f t="shared" si="9"/>
        <v>0.89917146081642763</v>
      </c>
      <c r="CV88" s="130" t="e">
        <f t="shared" si="9"/>
        <v>#DIV/0!</v>
      </c>
      <c r="CW88" s="131"/>
      <c r="CX88" s="130">
        <f t="shared" si="9"/>
        <v>7.4561807287267842E-2</v>
      </c>
      <c r="CY88" s="130">
        <f t="shared" si="9"/>
        <v>0.67417486890440537</v>
      </c>
      <c r="CZ88" s="130"/>
      <c r="DA88" s="130"/>
      <c r="DB88" s="130" t="e">
        <f t="shared" ref="DB88:DI88" si="10">DB14/(DB14+DB9)</f>
        <v>#DIV/0!</v>
      </c>
      <c r="DC88" s="131"/>
      <c r="DD88" s="130">
        <f t="shared" si="10"/>
        <v>7.414890035876133E-2</v>
      </c>
      <c r="DE88" s="130">
        <f t="shared" si="10"/>
        <v>8.1805920336802895E-2</v>
      </c>
      <c r="DF88" s="130" t="e">
        <f t="shared" si="10"/>
        <v>#DIV/0!</v>
      </c>
      <c r="DG88" s="131"/>
      <c r="DH88" s="130">
        <f t="shared" si="10"/>
        <v>0.74915814689876947</v>
      </c>
      <c r="DI88" s="130">
        <f t="shared" si="10"/>
        <v>0.72514898234954139</v>
      </c>
      <c r="DJ88" s="130"/>
      <c r="DK88" s="130"/>
      <c r="DL88" s="130"/>
      <c r="DM88" s="130" t="e">
        <f>DM14/(DM14+DM9)</f>
        <v>#DIV/0!</v>
      </c>
      <c r="DN88" s="131"/>
      <c r="DO88" s="130">
        <f>DO14/(DO14+DO9)</f>
        <v>0.37001600975832888</v>
      </c>
      <c r="DP88" s="130">
        <f>DP14/(DP14+DP9)</f>
        <v>0.40050388775465878</v>
      </c>
      <c r="DQ88" s="130"/>
      <c r="DR88" s="130"/>
      <c r="DS88" s="130"/>
      <c r="DT88" s="130" t="e">
        <f t="shared" ref="DT88:GE88" si="11">DT14/(DT14+DT9)</f>
        <v>#DIV/0!</v>
      </c>
      <c r="DU88" s="131"/>
      <c r="DV88" s="130">
        <f t="shared" si="11"/>
        <v>0.35992236270981798</v>
      </c>
      <c r="DW88" s="130">
        <f t="shared" si="11"/>
        <v>0.31888529755276085</v>
      </c>
      <c r="DX88" s="130" t="e">
        <f t="shared" si="11"/>
        <v>#DIV/0!</v>
      </c>
      <c r="DY88" s="131"/>
      <c r="DZ88" s="130">
        <f t="shared" si="11"/>
        <v>0.53903784477228989</v>
      </c>
      <c r="EA88" s="130">
        <f t="shared" si="11"/>
        <v>0.52193870662886455</v>
      </c>
      <c r="EB88" s="130" t="e">
        <f t="shared" si="11"/>
        <v>#DIV/0!</v>
      </c>
      <c r="EC88" s="131"/>
      <c r="ED88" s="130">
        <f t="shared" si="11"/>
        <v>2.5118806831230689E-2</v>
      </c>
      <c r="EE88" s="130">
        <f t="shared" si="11"/>
        <v>2.0718441598729299E-2</v>
      </c>
      <c r="EF88" s="130" t="e">
        <f t="shared" si="11"/>
        <v>#DIV/0!</v>
      </c>
      <c r="EG88" s="131"/>
      <c r="EH88" s="130">
        <f t="shared" si="11"/>
        <v>0.13220263978142921</v>
      </c>
      <c r="EI88" s="130">
        <f t="shared" si="11"/>
        <v>5.536536917290065E-2</v>
      </c>
      <c r="EJ88" s="130" t="e">
        <f t="shared" si="11"/>
        <v>#DIV/0!</v>
      </c>
      <c r="EK88" s="131"/>
      <c r="EL88" s="130">
        <f t="shared" si="11"/>
        <v>0.22422049590294774</v>
      </c>
      <c r="EM88" s="130">
        <f t="shared" si="11"/>
        <v>0.25390460109750951</v>
      </c>
      <c r="EN88" s="130" t="e">
        <f t="shared" si="11"/>
        <v>#DIV/0!</v>
      </c>
      <c r="EO88" s="131"/>
      <c r="EP88" s="130">
        <f t="shared" si="11"/>
        <v>9.1115482120458224E-2</v>
      </c>
      <c r="EQ88" s="130">
        <f t="shared" si="11"/>
        <v>0.11277994028981024</v>
      </c>
      <c r="ER88" s="130" t="e">
        <f t="shared" si="11"/>
        <v>#DIV/0!</v>
      </c>
      <c r="ES88" s="131"/>
      <c r="ET88" s="130">
        <f t="shared" si="11"/>
        <v>0.19963332425008057</v>
      </c>
      <c r="EU88" s="130">
        <f t="shared" si="11"/>
        <v>0.13306927856970674</v>
      </c>
      <c r="EV88" s="130" t="e">
        <f t="shared" si="11"/>
        <v>#DIV/0!</v>
      </c>
      <c r="EW88" s="131"/>
      <c r="EX88" s="130">
        <f t="shared" si="11"/>
        <v>0.99609251160537571</v>
      </c>
      <c r="EY88" s="130" t="e">
        <f t="shared" si="11"/>
        <v>#DIV/0!</v>
      </c>
      <c r="EZ88" s="130" t="e">
        <f t="shared" si="11"/>
        <v>#DIV/0!</v>
      </c>
      <c r="FA88" s="131"/>
      <c r="FB88" s="130">
        <f t="shared" si="11"/>
        <v>0.3123398840188204</v>
      </c>
      <c r="FC88" s="130">
        <f t="shared" si="11"/>
        <v>0.78739179750462651</v>
      </c>
      <c r="FD88" s="130" t="e">
        <f t="shared" si="11"/>
        <v>#DIV/0!</v>
      </c>
      <c r="FE88" s="131"/>
      <c r="FF88" s="130">
        <f t="shared" si="11"/>
        <v>0.21433164536612812</v>
      </c>
      <c r="FG88" s="130">
        <f t="shared" si="11"/>
        <v>0.21850690343338899</v>
      </c>
      <c r="FH88" s="130" t="e">
        <f t="shared" si="11"/>
        <v>#DIV/0!</v>
      </c>
      <c r="FI88" s="131"/>
      <c r="FJ88" s="130">
        <f t="shared" si="11"/>
        <v>0.229076676964134</v>
      </c>
      <c r="FK88" s="130">
        <f t="shared" si="11"/>
        <v>0.38750344911130707</v>
      </c>
      <c r="FL88" s="130" t="e">
        <f t="shared" si="11"/>
        <v>#DIV/0!</v>
      </c>
      <c r="FM88" s="131"/>
      <c r="FN88" s="130">
        <f t="shared" si="11"/>
        <v>0</v>
      </c>
      <c r="FO88" s="130">
        <f t="shared" si="11"/>
        <v>0</v>
      </c>
      <c r="FP88" s="130" t="e">
        <f t="shared" si="11"/>
        <v>#DIV/0!</v>
      </c>
      <c r="FQ88" s="131"/>
      <c r="FR88" s="130">
        <f t="shared" si="11"/>
        <v>0</v>
      </c>
      <c r="FS88" s="130">
        <f t="shared" si="11"/>
        <v>0</v>
      </c>
      <c r="FT88" s="130" t="e">
        <f t="shared" si="11"/>
        <v>#DIV/0!</v>
      </c>
      <c r="FU88" s="131"/>
      <c r="FV88" s="130">
        <f t="shared" si="11"/>
        <v>0.94897884335278893</v>
      </c>
      <c r="FW88" s="130">
        <f t="shared" si="11"/>
        <v>0.86385203126765908</v>
      </c>
      <c r="FX88" s="130" t="e">
        <f t="shared" si="11"/>
        <v>#DIV/0!</v>
      </c>
      <c r="FY88" s="131"/>
      <c r="FZ88" s="130">
        <f t="shared" si="11"/>
        <v>9.2309447740757639E-2</v>
      </c>
      <c r="GA88" s="130">
        <f t="shared" si="11"/>
        <v>9.1535671100362759E-2</v>
      </c>
      <c r="GB88" s="130" t="e">
        <f t="shared" si="11"/>
        <v>#DIV/0!</v>
      </c>
      <c r="GC88" s="131"/>
      <c r="GD88" s="130">
        <f t="shared" si="11"/>
        <v>1.025930907526976</v>
      </c>
      <c r="GE88" s="130">
        <f t="shared" si="11"/>
        <v>0.98591987337466247</v>
      </c>
      <c r="GF88" s="130" t="e">
        <f t="shared" ref="GF88:GZ88" si="12">GF14/(GF14+GF9)</f>
        <v>#DIV/0!</v>
      </c>
      <c r="GG88" s="131"/>
      <c r="GH88" s="130">
        <f t="shared" si="12"/>
        <v>0.91268175962620612</v>
      </c>
      <c r="GI88" s="130">
        <f t="shared" si="12"/>
        <v>0.81137629862052674</v>
      </c>
      <c r="GJ88" s="130" t="e">
        <f t="shared" si="12"/>
        <v>#DIV/0!</v>
      </c>
      <c r="GK88" s="131"/>
      <c r="GL88" s="130">
        <f t="shared" si="12"/>
        <v>0.71581538760545249</v>
      </c>
      <c r="GM88" s="130">
        <f t="shared" si="12"/>
        <v>0.89572072225925103</v>
      </c>
      <c r="GN88" s="130" t="e">
        <f t="shared" si="12"/>
        <v>#DIV/0!</v>
      </c>
      <c r="GO88" s="131"/>
      <c r="GP88" s="130">
        <f t="shared" si="12"/>
        <v>-2.6367982726711907</v>
      </c>
      <c r="GQ88" s="130">
        <f t="shared" si="12"/>
        <v>7.1551542407420426E-2</v>
      </c>
      <c r="GR88" s="130" t="e">
        <f t="shared" si="12"/>
        <v>#DIV/0!</v>
      </c>
      <c r="GS88" s="131"/>
      <c r="GT88" s="130">
        <f t="shared" si="12"/>
        <v>0</v>
      </c>
      <c r="GU88" s="130" t="e">
        <f t="shared" si="12"/>
        <v>#DIV/0!</v>
      </c>
      <c r="GV88" s="130" t="e">
        <f t="shared" si="12"/>
        <v>#DIV/0!</v>
      </c>
      <c r="GW88" s="131"/>
      <c r="GX88" s="130">
        <f t="shared" si="12"/>
        <v>0.38205607943882103</v>
      </c>
      <c r="GY88" s="130">
        <f t="shared" si="12"/>
        <v>0.19889485644950461</v>
      </c>
      <c r="GZ88" s="130" t="e">
        <f t="shared" si="12"/>
        <v>#DIV/0!</v>
      </c>
      <c r="HA88" s="131"/>
      <c r="HB88" s="130">
        <f>HB14/(HB14+HB9)</f>
        <v>0</v>
      </c>
      <c r="HC88" s="130" t="e">
        <f>HC14/(HC14+HC9)</f>
        <v>#DIV/0!</v>
      </c>
      <c r="HD88" s="130" t="e">
        <f>HD14/(HD14+HD9)</f>
        <v>#DIV/0!</v>
      </c>
      <c r="HE88" s="131"/>
      <c r="HF88" s="130">
        <f>HF14/(HF14+HF9)</f>
        <v>8.0711025514784254</v>
      </c>
      <c r="HG88" s="130">
        <f>HG14/(HG14+HG9)</f>
        <v>0</v>
      </c>
      <c r="HH88" s="130">
        <f>HH14/(HH14+HH9)</f>
        <v>9.9476872174964974</v>
      </c>
    </row>
    <row r="89" spans="1:256" s="85" customFormat="1" ht="14.25" customHeight="1" x14ac:dyDescent="0.2">
      <c r="A89" s="159" t="s">
        <v>276</v>
      </c>
      <c r="B89" s="160"/>
      <c r="C89" s="125"/>
      <c r="D89" s="126"/>
      <c r="E89" s="92"/>
      <c r="F89" s="92"/>
      <c r="G89" s="92"/>
      <c r="H89" s="92"/>
      <c r="I89" s="92"/>
      <c r="J89" s="91"/>
      <c r="K89" s="92"/>
      <c r="N89" s="125"/>
      <c r="O89" s="126"/>
      <c r="U89" s="91"/>
      <c r="V89" s="92"/>
      <c r="AB89" s="91"/>
      <c r="AC89" s="92"/>
      <c r="AF89" s="91"/>
      <c r="AG89" s="92"/>
      <c r="AJ89" s="91"/>
      <c r="AK89" s="92"/>
      <c r="AP89" s="91"/>
      <c r="AQ89" s="92"/>
      <c r="AW89" s="91"/>
      <c r="AX89" s="92"/>
      <c r="BA89" s="91"/>
      <c r="BB89" s="92"/>
      <c r="BC89" s="92"/>
      <c r="BD89" s="92"/>
      <c r="BE89" s="91"/>
      <c r="BF89" s="92"/>
      <c r="BG89" s="92"/>
      <c r="BH89" s="92"/>
      <c r="BI89" s="92"/>
      <c r="BJ89" s="92"/>
      <c r="BK89" s="92"/>
      <c r="BL89" s="91"/>
      <c r="BM89" s="92"/>
      <c r="BN89" s="92"/>
      <c r="BO89" s="92"/>
      <c r="BP89" s="92"/>
      <c r="BQ89" s="92"/>
      <c r="BR89" s="92"/>
      <c r="BS89" s="91"/>
      <c r="BT89" s="92"/>
      <c r="BU89" s="92"/>
      <c r="BV89" s="92"/>
      <c r="BW89" s="91"/>
      <c r="BX89" s="92"/>
      <c r="CA89" s="91"/>
      <c r="CB89" s="92"/>
      <c r="CG89" s="91"/>
      <c r="CH89" s="92"/>
      <c r="CK89" s="91"/>
      <c r="CL89" s="92"/>
      <c r="CR89" s="91"/>
      <c r="CS89" s="92"/>
      <c r="CV89" s="91"/>
      <c r="CW89" s="92"/>
      <c r="DB89" s="91"/>
      <c r="DC89" s="92"/>
      <c r="DF89" s="91"/>
      <c r="DG89" s="92"/>
      <c r="DM89" s="91"/>
      <c r="DN89" s="92"/>
      <c r="DT89" s="91"/>
      <c r="DU89" s="92"/>
      <c r="DX89" s="91"/>
      <c r="DY89" s="92"/>
      <c r="EB89" s="91"/>
      <c r="EC89" s="92"/>
      <c r="EF89" s="91"/>
      <c r="EG89" s="92"/>
      <c r="EJ89" s="91"/>
      <c r="EK89" s="92"/>
      <c r="EN89" s="91"/>
      <c r="EO89" s="92"/>
      <c r="ER89" s="91"/>
      <c r="ES89" s="92"/>
      <c r="EV89" s="91"/>
      <c r="EW89" s="92"/>
      <c r="EZ89" s="91"/>
      <c r="FA89" s="92"/>
      <c r="FD89" s="91"/>
      <c r="FE89" s="92"/>
      <c r="FH89" s="91"/>
      <c r="FI89" s="92"/>
      <c r="FL89" s="91"/>
      <c r="FM89" s="92"/>
      <c r="FP89" s="91"/>
      <c r="FQ89" s="92"/>
      <c r="FT89" s="91"/>
      <c r="FU89" s="92"/>
      <c r="FX89" s="91"/>
      <c r="FY89" s="92"/>
      <c r="GB89" s="91"/>
      <c r="GC89" s="92"/>
      <c r="GF89" s="91"/>
      <c r="GG89" s="92"/>
      <c r="GJ89" s="91"/>
      <c r="GK89" s="92"/>
      <c r="GN89" s="91"/>
      <c r="GO89" s="92"/>
      <c r="GR89" s="91"/>
      <c r="GS89" s="92"/>
      <c r="GV89" s="91"/>
      <c r="GW89" s="92"/>
      <c r="GZ89" s="91"/>
      <c r="HA89" s="92"/>
      <c r="HD89" s="91"/>
      <c r="HE89" s="9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x14ac:dyDescent="0.2">
      <c r="A90" s="161"/>
      <c r="B90" s="157" t="s">
        <v>277</v>
      </c>
      <c r="C90" s="106"/>
      <c r="D90" s="107"/>
      <c r="E90" s="130">
        <f>E18/(E9+E12+E13)</f>
        <v>0.57069193400842466</v>
      </c>
      <c r="F90" s="130">
        <f>F18/(F9+F12+F13)</f>
        <v>0.51324183594069206</v>
      </c>
      <c r="G90" s="130">
        <f>G18/(G9+G12+G13)</f>
        <v>0.60830136250361766</v>
      </c>
      <c r="H90" s="130">
        <f>H18/(H9+H12+H13)</f>
        <v>0.68300312515107542</v>
      </c>
      <c r="I90" s="130"/>
      <c r="J90" s="130" t="e">
        <f>J18/(J9+J12+J13)</f>
        <v>#DIV/0!</v>
      </c>
      <c r="K90" s="131"/>
      <c r="L90" s="130">
        <f>L18/(L9+L12+L13)</f>
        <v>5.0608404462482017</v>
      </c>
      <c r="M90" s="130">
        <f>M18/(M9+M12+M13)</f>
        <v>1.0506535947712419</v>
      </c>
      <c r="N90" s="130"/>
      <c r="O90" s="131"/>
      <c r="P90" s="130">
        <f>P18/(P9+P12+P13)</f>
        <v>0.69063981035555932</v>
      </c>
      <c r="Q90" s="130">
        <f>Q18/(Q9+Q12+Q13)</f>
        <v>0.71788549912884858</v>
      </c>
      <c r="R90" s="130">
        <f>R18/(R9+R12+R13)</f>
        <v>0.93165178007440463</v>
      </c>
      <c r="S90" s="130">
        <f>S18/(S9+S12+S13)</f>
        <v>0.54423340321390212</v>
      </c>
      <c r="T90" s="130"/>
      <c r="U90" s="130"/>
      <c r="V90" s="131"/>
      <c r="W90" s="130">
        <f>W18/(W9+W12+W13)</f>
        <v>0.41314345424945309</v>
      </c>
      <c r="X90" s="130">
        <f>X18/(X9+X12+X13)</f>
        <v>0.4606885438557326</v>
      </c>
      <c r="Y90" s="130">
        <f>Y18/(Y9+Y12+Y13)</f>
        <v>0.37886575799475203</v>
      </c>
      <c r="Z90" s="130">
        <f>Z18/(Z9+Z12+Z13)</f>
        <v>0.42096811739805617</v>
      </c>
      <c r="AA90" s="130"/>
      <c r="AB90" s="130"/>
      <c r="AC90" s="131"/>
      <c r="AD90" s="130">
        <f>AD18/(AD9+AD12+AD13)</f>
        <v>0.69536790171521001</v>
      </c>
      <c r="AE90" s="130">
        <f>AE18/(AE9+AE12+AE13)</f>
        <v>0.70989734065719734</v>
      </c>
      <c r="AF90" s="130"/>
      <c r="AG90" s="131"/>
      <c r="AH90" s="130">
        <f>AH18/(AH9+AH12+AH13)</f>
        <v>0.70547352717408307</v>
      </c>
      <c r="AI90" s="130">
        <f>AI18/(AI9+AI12+AI13)</f>
        <v>0.74891576817865391</v>
      </c>
      <c r="AJ90" s="130"/>
      <c r="AK90" s="131"/>
      <c r="AL90" s="130">
        <f>AL18/(AL9+AL12+AL13)</f>
        <v>0.87875585148140611</v>
      </c>
      <c r="AM90" s="130">
        <f>AM18/(AM9+AM12+AM13)</f>
        <v>0.67232723660066218</v>
      </c>
      <c r="AN90" s="130"/>
      <c r="AO90" s="130"/>
      <c r="AP90" s="130"/>
      <c r="AQ90" s="131"/>
      <c r="AR90" s="130">
        <f>AR18/(AR9+AR12+AR13)</f>
        <v>0.1830965776430919</v>
      </c>
      <c r="AS90" s="130">
        <f>AS18/(AS9+AS12+AS13)</f>
        <v>0.18889882117304391</v>
      </c>
      <c r="AT90" s="130">
        <f>AT18/(AT9+AT12+AT13)</f>
        <v>0.15821903726981712</v>
      </c>
      <c r="AU90" s="130">
        <f>AU18/(AU9+AU12+AU13)</f>
        <v>0.13767899094805117</v>
      </c>
      <c r="AV90" s="130"/>
      <c r="AW90" s="130" t="e">
        <f>AW18/(AW9+AW12+AW13)</f>
        <v>#DIV/0!</v>
      </c>
      <c r="AX90" s="131"/>
      <c r="AY90" s="130">
        <f>AY18/(AY9+AY12+AY13)</f>
        <v>0.85106382978723405</v>
      </c>
      <c r="AZ90" s="130">
        <f>AZ18/(AZ9+AZ12+AZ13)</f>
        <v>0.69590085795996182</v>
      </c>
      <c r="BA90" s="130" t="e">
        <f>BA18/(BA9+BA12+BA13)</f>
        <v>#DIV/0!</v>
      </c>
      <c r="BB90" s="131"/>
      <c r="BC90" s="130">
        <f>BC18/(BC9+BC12+BC13)</f>
        <v>0.77320157182947369</v>
      </c>
      <c r="BD90" s="130"/>
      <c r="BE90" s="130"/>
      <c r="BF90" s="131"/>
      <c r="BG90" s="130">
        <f>BG18/(BG9+BG12+BG13)</f>
        <v>0.44867967321622809</v>
      </c>
      <c r="BH90" s="130">
        <f>BH18/(BH9+BH12+BH13)</f>
        <v>0.50957152166829589</v>
      </c>
      <c r="BI90" s="130">
        <f>BI18/(BI9+BI12+BI13)</f>
        <v>0.33065891717733276</v>
      </c>
      <c r="BJ90" s="130">
        <f>BJ18/(BJ9+BJ12+BJ13)</f>
        <v>1.1162255466052935</v>
      </c>
      <c r="BK90" s="130"/>
      <c r="BL90" s="130" t="e">
        <f>BL18/(BL9+BL12+BL13)</f>
        <v>#DIV/0!</v>
      </c>
      <c r="BM90" s="131"/>
      <c r="BN90" s="130">
        <f>BN18/(BN9+BN12+BN13)</f>
        <v>0.63538202519656972</v>
      </c>
      <c r="BO90" s="130">
        <f>BO18/(BO9+BO12+BO13)</f>
        <v>0.51986668390327018</v>
      </c>
      <c r="BP90" s="130">
        <f>BP18/(BP9+BP12+BP13)</f>
        <v>0.54000447416613684</v>
      </c>
      <c r="BQ90" s="130">
        <f>BQ18/(BQ9+BQ12+BQ13)</f>
        <v>0.41891043339545514</v>
      </c>
      <c r="BR90" s="130"/>
      <c r="BS90" s="130" t="e">
        <f t="shared" ref="BS90:BZ90" si="13">BS18/(BS9+BS12+BS13)</f>
        <v>#DIV/0!</v>
      </c>
      <c r="BT90" s="130"/>
      <c r="BU90" s="130">
        <f t="shared" si="13"/>
        <v>0.60478122126669909</v>
      </c>
      <c r="BV90" s="130">
        <f t="shared" si="13"/>
        <v>0.4156485496153049</v>
      </c>
      <c r="BW90" s="130" t="e">
        <f t="shared" si="13"/>
        <v>#DIV/0!</v>
      </c>
      <c r="BX90" s="131"/>
      <c r="BY90" s="130">
        <f t="shared" si="13"/>
        <v>0.37291706569622679</v>
      </c>
      <c r="BZ90" s="130">
        <f t="shared" si="13"/>
        <v>0.36969562319484561</v>
      </c>
      <c r="CA90" s="130"/>
      <c r="CB90" s="131"/>
      <c r="CC90" s="130">
        <f>CC18/(CC9+CC12+CC13)</f>
        <v>0.70782739945735551</v>
      </c>
      <c r="CD90" s="130">
        <f>CD18/(CD9+CD12+CD13)</f>
        <v>0.87609760018874583</v>
      </c>
      <c r="CE90" s="130">
        <f>CE18/(CE9+CE12+CE13)</f>
        <v>0.83081506287776785</v>
      </c>
      <c r="CF90" s="130"/>
      <c r="CG90" s="130" t="e">
        <f t="shared" ref="CG90:CN90" si="14">CG18/(CG9+CG12+CG13)</f>
        <v>#DIV/0!</v>
      </c>
      <c r="CH90" s="131"/>
      <c r="CI90" s="130">
        <f t="shared" si="14"/>
        <v>0.53468916774844943</v>
      </c>
      <c r="CJ90" s="130">
        <f t="shared" si="14"/>
        <v>0.56009473060982828</v>
      </c>
      <c r="CK90" s="130" t="e">
        <f t="shared" si="14"/>
        <v>#DIV/0!</v>
      </c>
      <c r="CL90" s="131"/>
      <c r="CM90" s="130">
        <f t="shared" si="14"/>
        <v>0.59552066509035129</v>
      </c>
      <c r="CN90" s="130">
        <f t="shared" si="14"/>
        <v>0.61962754918199925</v>
      </c>
      <c r="CO90" s="130"/>
      <c r="CP90" s="130"/>
      <c r="CQ90" s="130"/>
      <c r="CR90" s="130" t="e">
        <f t="shared" ref="CR90:CY90" si="15">CR18/(CR9+CR12+CR13)</f>
        <v>#DIV/0!</v>
      </c>
      <c r="CS90" s="131"/>
      <c r="CT90" s="130">
        <f t="shared" si="15"/>
        <v>1.2042126864475209</v>
      </c>
      <c r="CU90" s="130">
        <f t="shared" si="15"/>
        <v>0.82187433530437726</v>
      </c>
      <c r="CV90" s="130" t="e">
        <f t="shared" si="15"/>
        <v>#DIV/0!</v>
      </c>
      <c r="CW90" s="131"/>
      <c r="CX90" s="130">
        <f t="shared" si="15"/>
        <v>0.649200666044918</v>
      </c>
      <c r="CY90" s="130">
        <f t="shared" si="15"/>
        <v>0.48592650234149354</v>
      </c>
      <c r="CZ90" s="130"/>
      <c r="DA90" s="130"/>
      <c r="DB90" s="130" t="e">
        <f t="shared" ref="DB90:DI90" si="16">DB18/(DB9+DB12+DB13)</f>
        <v>#DIV/0!</v>
      </c>
      <c r="DC90" s="131"/>
      <c r="DD90" s="130">
        <f t="shared" si="16"/>
        <v>0.13453794185097348</v>
      </c>
      <c r="DE90" s="130">
        <f t="shared" si="16"/>
        <v>0.13434249960679032</v>
      </c>
      <c r="DF90" s="130" t="e">
        <f t="shared" si="16"/>
        <v>#DIV/0!</v>
      </c>
      <c r="DG90" s="131"/>
      <c r="DH90" s="130">
        <f t="shared" si="16"/>
        <v>0.11301466115771897</v>
      </c>
      <c r="DI90" s="130">
        <f t="shared" si="16"/>
        <v>0.11690265859652736</v>
      </c>
      <c r="DJ90" s="130"/>
      <c r="DK90" s="130"/>
      <c r="DL90" s="130"/>
      <c r="DM90" s="130" t="e">
        <f>DM18/(DM9+DM12+DM13)</f>
        <v>#DIV/0!</v>
      </c>
      <c r="DN90" s="131"/>
      <c r="DO90" s="130">
        <f>DO18/(DO9+DO12+DO13)</f>
        <v>0.63466882816118575</v>
      </c>
      <c r="DP90" s="130">
        <f>DP18/(DP9+DP12+DP13)</f>
        <v>0.68323253571741605</v>
      </c>
      <c r="DQ90" s="130"/>
      <c r="DR90" s="130"/>
      <c r="DS90" s="130"/>
      <c r="DT90" s="130" t="e">
        <f t="shared" ref="DT90:GE90" si="17">DT18/(DT9+DT12+DT13)</f>
        <v>#DIV/0!</v>
      </c>
      <c r="DU90" s="131"/>
      <c r="DV90" s="130">
        <f t="shared" si="17"/>
        <v>0.83858728461722654</v>
      </c>
      <c r="DW90" s="130">
        <f t="shared" si="17"/>
        <v>0.71089578183991098</v>
      </c>
      <c r="DX90" s="130" t="e">
        <f t="shared" si="17"/>
        <v>#DIV/0!</v>
      </c>
      <c r="DY90" s="131"/>
      <c r="DZ90" s="130">
        <f t="shared" si="17"/>
        <v>0.27445798588838999</v>
      </c>
      <c r="EA90" s="130">
        <f t="shared" si="17"/>
        <v>0.31259619279060347</v>
      </c>
      <c r="EB90" s="130" t="e">
        <f t="shared" si="17"/>
        <v>#DIV/0!</v>
      </c>
      <c r="EC90" s="131"/>
      <c r="ED90" s="130">
        <f t="shared" si="17"/>
        <v>0.30089651161244529</v>
      </c>
      <c r="EE90" s="130">
        <f t="shared" si="17"/>
        <v>0.32040867095063713</v>
      </c>
      <c r="EF90" s="130" t="e">
        <f t="shared" si="17"/>
        <v>#DIV/0!</v>
      </c>
      <c r="EG90" s="131"/>
      <c r="EH90" s="130">
        <f t="shared" si="17"/>
        <v>0.68640089275406935</v>
      </c>
      <c r="EI90" s="130">
        <f t="shared" si="17"/>
        <v>0.50501616584252562</v>
      </c>
      <c r="EJ90" s="130" t="e">
        <f t="shared" si="17"/>
        <v>#DIV/0!</v>
      </c>
      <c r="EK90" s="131"/>
      <c r="EL90" s="130">
        <f t="shared" si="17"/>
        <v>0.76568265682656822</v>
      </c>
      <c r="EM90" s="130">
        <f t="shared" si="17"/>
        <v>0.50937400699078483</v>
      </c>
      <c r="EN90" s="130" t="e">
        <f t="shared" si="17"/>
        <v>#DIV/0!</v>
      </c>
      <c r="EO90" s="131"/>
      <c r="EP90" s="130">
        <f t="shared" si="17"/>
        <v>0.25797374826356706</v>
      </c>
      <c r="EQ90" s="130">
        <f t="shared" si="17"/>
        <v>0.30849599865422289</v>
      </c>
      <c r="ER90" s="130" t="e">
        <f t="shared" si="17"/>
        <v>#DIV/0!</v>
      </c>
      <c r="ES90" s="131"/>
      <c r="ET90" s="130">
        <f t="shared" si="17"/>
        <v>0.75973404986283655</v>
      </c>
      <c r="EU90" s="130">
        <f t="shared" si="17"/>
        <v>0.8354670531669931</v>
      </c>
      <c r="EV90" s="130" t="e">
        <f t="shared" si="17"/>
        <v>#DIV/0!</v>
      </c>
      <c r="EW90" s="131"/>
      <c r="EX90" s="130">
        <f t="shared" si="17"/>
        <v>0.92639938724630289</v>
      </c>
      <c r="EY90" s="130" t="e">
        <f t="shared" si="17"/>
        <v>#DIV/0!</v>
      </c>
      <c r="EZ90" s="130" t="e">
        <f t="shared" si="17"/>
        <v>#DIV/0!</v>
      </c>
      <c r="FA90" s="131"/>
      <c r="FB90" s="130">
        <f t="shared" si="17"/>
        <v>0.79571572890096953</v>
      </c>
      <c r="FC90" s="130">
        <f t="shared" si="17"/>
        <v>1.1983642767595968</v>
      </c>
      <c r="FD90" s="130" t="e">
        <f t="shared" si="17"/>
        <v>#DIV/0!</v>
      </c>
      <c r="FE90" s="131"/>
      <c r="FF90" s="130">
        <f t="shared" si="17"/>
        <v>0.67980785158191159</v>
      </c>
      <c r="FG90" s="130">
        <f t="shared" si="17"/>
        <v>0.62602038658376691</v>
      </c>
      <c r="FH90" s="130" t="e">
        <f t="shared" si="17"/>
        <v>#DIV/0!</v>
      </c>
      <c r="FI90" s="131"/>
      <c r="FJ90" s="130">
        <f t="shared" si="17"/>
        <v>0.61145685617691248</v>
      </c>
      <c r="FK90" s="130">
        <f t="shared" si="17"/>
        <v>0.74237213611595287</v>
      </c>
      <c r="FL90" s="130" t="e">
        <f t="shared" si="17"/>
        <v>#DIV/0!</v>
      </c>
      <c r="FM90" s="131"/>
      <c r="FN90" s="130">
        <f t="shared" si="17"/>
        <v>0.39601934508053777</v>
      </c>
      <c r="FO90" s="130">
        <f t="shared" si="17"/>
        <v>0.51510551626266154</v>
      </c>
      <c r="FP90" s="130" t="e">
        <f t="shared" si="17"/>
        <v>#DIV/0!</v>
      </c>
      <c r="FQ90" s="131"/>
      <c r="FR90" s="130">
        <f t="shared" si="17"/>
        <v>0.84924412442378161</v>
      </c>
      <c r="FS90" s="130">
        <f t="shared" si="17"/>
        <v>1.0133351898136136</v>
      </c>
      <c r="FT90" s="130" t="e">
        <f t="shared" si="17"/>
        <v>#DIV/0!</v>
      </c>
      <c r="FU90" s="131"/>
      <c r="FV90" s="130">
        <f t="shared" si="17"/>
        <v>0.58420906385151361</v>
      </c>
      <c r="FW90" s="130">
        <f t="shared" si="17"/>
        <v>0.65544451898341738</v>
      </c>
      <c r="FX90" s="130" t="e">
        <f t="shared" si="17"/>
        <v>#DIV/0!</v>
      </c>
      <c r="FY90" s="131"/>
      <c r="FZ90" s="130">
        <f t="shared" si="17"/>
        <v>0.29541305340027385</v>
      </c>
      <c r="GA90" s="130">
        <f t="shared" si="17"/>
        <v>1.7986698911729142</v>
      </c>
      <c r="GB90" s="130" t="e">
        <f t="shared" si="17"/>
        <v>#DIV/0!</v>
      </c>
      <c r="GC90" s="131"/>
      <c r="GD90" s="130">
        <f t="shared" si="17"/>
        <v>0.81883839615172826</v>
      </c>
      <c r="GE90" s="130">
        <f t="shared" si="17"/>
        <v>0.90771900837920949</v>
      </c>
      <c r="GF90" s="130" t="e">
        <f t="shared" ref="GF90:GZ90" si="18">GF18/(GF9+GF12+GF13)</f>
        <v>#DIV/0!</v>
      </c>
      <c r="GG90" s="131"/>
      <c r="GH90" s="130">
        <f t="shared" si="18"/>
        <v>0.83998597437175437</v>
      </c>
      <c r="GI90" s="130">
        <f t="shared" si="18"/>
        <v>0.75010988165539805</v>
      </c>
      <c r="GJ90" s="130" t="e">
        <f t="shared" si="18"/>
        <v>#DIV/0!</v>
      </c>
      <c r="GK90" s="131"/>
      <c r="GL90" s="130">
        <f t="shared" si="18"/>
        <v>1.1211024029301484</v>
      </c>
      <c r="GM90" s="130">
        <f t="shared" si="18"/>
        <v>2.6111742714415227</v>
      </c>
      <c r="GN90" s="130" t="e">
        <f t="shared" si="18"/>
        <v>#DIV/0!</v>
      </c>
      <c r="GO90" s="131"/>
      <c r="GP90" s="130">
        <f t="shared" si="18"/>
        <v>3.9591301665638494</v>
      </c>
      <c r="GQ90" s="130">
        <f t="shared" si="18"/>
        <v>0.48952989951514297</v>
      </c>
      <c r="GR90" s="130" t="e">
        <f t="shared" si="18"/>
        <v>#DIV/0!</v>
      </c>
      <c r="GS90" s="131"/>
      <c r="GT90" s="130">
        <f t="shared" si="18"/>
        <v>0.96250000000000002</v>
      </c>
      <c r="GU90" s="130" t="e">
        <f t="shared" si="18"/>
        <v>#DIV/0!</v>
      </c>
      <c r="GV90" s="130" t="e">
        <f t="shared" si="18"/>
        <v>#DIV/0!</v>
      </c>
      <c r="GW90" s="131"/>
      <c r="GX90" s="130">
        <f t="shared" si="18"/>
        <v>0.47221602621296499</v>
      </c>
      <c r="GY90" s="130">
        <f t="shared" si="18"/>
        <v>0.42740551375701247</v>
      </c>
      <c r="GZ90" s="130" t="e">
        <f t="shared" si="18"/>
        <v>#DIV/0!</v>
      </c>
      <c r="HA90" s="131"/>
      <c r="HB90" s="130">
        <f>HB18/(HB9+HB12+HB13)</f>
        <v>3.6509798475900856E-2</v>
      </c>
      <c r="HC90" s="130" t="e">
        <f>HC18/(HC9+HC12+HC13)</f>
        <v>#DIV/0!</v>
      </c>
      <c r="HD90" s="130" t="e">
        <f>HD18/(HD9+HD12+HD13)</f>
        <v>#DIV/0!</v>
      </c>
      <c r="HE90" s="131"/>
      <c r="HF90" s="130">
        <f>HF18/(HF9+HF12+HF13)</f>
        <v>2.0049813200498028E-2</v>
      </c>
      <c r="HG90" s="130">
        <f>HG18/(HG9+HG12+HG13)</f>
        <v>0.18642976656237892</v>
      </c>
      <c r="HH90" s="130">
        <f>HH18/(HH9+HH12+HH13)</f>
        <v>1.9773606533887083E-2</v>
      </c>
    </row>
    <row r="91" spans="1:256" x14ac:dyDescent="0.2">
      <c r="A91" s="161"/>
      <c r="B91" s="155" t="s">
        <v>278</v>
      </c>
      <c r="C91" s="106"/>
      <c r="D91" s="107"/>
      <c r="E91" s="130">
        <f>E18/(E9+E12+E13-E115)</f>
        <v>0.60098702054450792</v>
      </c>
      <c r="F91" s="130">
        <f>F18/(F9+F12+F13-F115)</f>
        <v>0.53797945385637047</v>
      </c>
      <c r="G91" s="130">
        <f>G18/(G9+G12+G13-G115)</f>
        <v>0.62261544489367604</v>
      </c>
      <c r="H91" s="130">
        <f>H18/(H9+H12+H13-H115)</f>
        <v>0.70898398093041548</v>
      </c>
      <c r="I91" s="130"/>
      <c r="J91" s="130" t="e">
        <f>J18/(J9+J12+J13-J115)</f>
        <v>#DIV/0!</v>
      </c>
      <c r="K91" s="131"/>
      <c r="L91" s="130">
        <f>L18/(L9+L12+L13-L115)</f>
        <v>5.0608404462482017</v>
      </c>
      <c r="M91" s="130">
        <f>M18/(M9+M12+M13-M115)</f>
        <v>1.0506535947712419</v>
      </c>
      <c r="N91" s="130"/>
      <c r="O91" s="131"/>
      <c r="P91" s="130">
        <f>P18/(P9+P12+P13-P115)</f>
        <v>0.6920735203098145</v>
      </c>
      <c r="Q91" s="130">
        <f>Q18/(Q9+Q12+Q13-Q115)</f>
        <v>0.76492795570376892</v>
      </c>
      <c r="R91" s="130">
        <f>R18/(R9+R12+R13-R115)</f>
        <v>0.8507819145455735</v>
      </c>
      <c r="S91" s="130">
        <f>S18/(S9+S12+S13-S115)</f>
        <v>0.72952513757812709</v>
      </c>
      <c r="T91" s="130"/>
      <c r="U91" s="130"/>
      <c r="V91" s="131"/>
      <c r="W91" s="130">
        <f>W18/(W9+W12+W13-W115)</f>
        <v>0.43602863608904596</v>
      </c>
      <c r="X91" s="130">
        <f>X18/(X9+X12+X13-X115)</f>
        <v>0.77863080414208685</v>
      </c>
      <c r="Y91" s="130">
        <f>Y18/(Y9+Y12+Y13-Y115)</f>
        <v>0.46528642696231587</v>
      </c>
      <c r="Z91" s="130">
        <f>Z18/(Z9+Z12+Z13-Z115)</f>
        <v>0.48275683412805037</v>
      </c>
      <c r="AA91" s="130"/>
      <c r="AB91" s="130"/>
      <c r="AC91" s="131"/>
      <c r="AD91" s="130">
        <f>AD18/(AD9+AD12+AD13-AD115)</f>
        <v>0.73442943139556094</v>
      </c>
      <c r="AE91" s="130">
        <f>AE18/(AE9+AE12+AE13-AE115)</f>
        <v>0.70989734065719734</v>
      </c>
      <c r="AF91" s="130"/>
      <c r="AG91" s="131"/>
      <c r="AH91" s="130">
        <f>AH18/(AH9+AH12+AH13-AH115)</f>
        <v>0.76488132871802528</v>
      </c>
      <c r="AI91" s="130">
        <f>AI18/(AI9+AI12+AI13-AI115)</f>
        <v>0.74891576817865391</v>
      </c>
      <c r="AJ91" s="130"/>
      <c r="AK91" s="131"/>
      <c r="AL91" s="130">
        <f>AL18/(AL9+AL12+AL13-AL115)</f>
        <v>0.94902563555064312</v>
      </c>
      <c r="AM91" s="130">
        <f>AM18/(AM9+AM12+AM13-AM115)</f>
        <v>0.67232723660066218</v>
      </c>
      <c r="AN91" s="130"/>
      <c r="AO91" s="130"/>
      <c r="AP91" s="130"/>
      <c r="AQ91" s="131"/>
      <c r="AR91" s="130">
        <f>AR18/(AR9+AR12+AR13-AR115)</f>
        <v>0.22712386577086824</v>
      </c>
      <c r="AS91" s="130">
        <f>AS18/(AS9+AS12+AS13-AS115)</f>
        <v>0.22860066016459307</v>
      </c>
      <c r="AT91" s="130">
        <f>AT18/(AT9+AT12+AT13-AT115)</f>
        <v>0.2224766133601602</v>
      </c>
      <c r="AU91" s="130">
        <f>AU18/(AU9+AU12+AU13-AU115)</f>
        <v>0.16613617944628897</v>
      </c>
      <c r="AV91" s="130"/>
      <c r="AW91" s="130" t="e">
        <f>AW18/(AW9+AW12+AW13-AW115)</f>
        <v>#DIV/0!</v>
      </c>
      <c r="AX91" s="131"/>
      <c r="AY91" s="130">
        <f>AY18/(AY9+AY12+AY13-AY115)</f>
        <v>0.85106382978723405</v>
      </c>
      <c r="AZ91" s="130">
        <f>AZ18/(AZ9+AZ12+AZ13-AZ115)</f>
        <v>0.69590085795996182</v>
      </c>
      <c r="BA91" s="130" t="e">
        <f>BA18/(BA9+BA12+BA13-BA115)</f>
        <v>#DIV/0!</v>
      </c>
      <c r="BB91" s="131"/>
      <c r="BC91" s="130">
        <f>BC18/(BC9+BC12+BC13-BC115)</f>
        <v>0.79651765851798517</v>
      </c>
      <c r="BD91" s="130"/>
      <c r="BE91" s="130"/>
      <c r="BF91" s="131"/>
      <c r="BG91" s="130">
        <f>BG18/(BG9+BG12+BG13-BG115)</f>
        <v>0.49677138318044378</v>
      </c>
      <c r="BH91" s="130">
        <f>BH18/(BH9+BH12+BH13-BH115)</f>
        <v>0.6293892745749069</v>
      </c>
      <c r="BI91" s="130">
        <f>BI18/(BI9+BI12+BI13-BI115)</f>
        <v>0.45216985086374883</v>
      </c>
      <c r="BJ91" s="130">
        <f>BJ18/(BJ9+BJ12+BJ13-BJ115)</f>
        <v>1.1162255466052935</v>
      </c>
      <c r="BK91" s="130"/>
      <c r="BL91" s="130" t="e">
        <f>BL18/(BL9+BL12+BL13-BL115)</f>
        <v>#DIV/0!</v>
      </c>
      <c r="BM91" s="131"/>
      <c r="BN91" s="130">
        <f>BN18/(BN9+BN12+BN13-BN115)</f>
        <v>0.90555095844545708</v>
      </c>
      <c r="BO91" s="130">
        <f>BO18/(BO9+BO12+BO13-BO115)</f>
        <v>0.59865748209217928</v>
      </c>
      <c r="BP91" s="130">
        <f>BP18/(BP9+BP12+BP13-BP115)</f>
        <v>0.63434739104858362</v>
      </c>
      <c r="BQ91" s="130">
        <f>BQ18/(BQ9+BQ12+BQ13-BQ115)</f>
        <v>0.47184325539835381</v>
      </c>
      <c r="BR91" s="130"/>
      <c r="BS91" s="130" t="e">
        <f>BS18/(BS9+BS12+BS13-BS115)</f>
        <v>#DIV/0!</v>
      </c>
      <c r="BT91" s="130"/>
      <c r="BU91" s="130">
        <f>BU18/(BU9+BU12+BU13-BU115)</f>
        <v>0.64863391147978411</v>
      </c>
      <c r="BV91" s="130">
        <f>BV18/(BV9+BV12+BV13-BV115)</f>
        <v>0.4156485496153049</v>
      </c>
      <c r="BW91" s="130" t="e">
        <f>BW18/(BW9+BW12+BW13-BW115)</f>
        <v>#DIV/0!</v>
      </c>
      <c r="BX91" s="131"/>
      <c r="BY91" s="130">
        <f>BY18/(BY9+BY12+BY13-BY115)</f>
        <v>0.34558040468583601</v>
      </c>
      <c r="BZ91" s="130">
        <f>BZ18/(BZ9+BZ12+BZ13-BZ115)</f>
        <v>0.36969562319484561</v>
      </c>
      <c r="CA91" s="130"/>
      <c r="CB91" s="131"/>
      <c r="CC91" s="130">
        <f>CC18/(CC9+CC12+CC13-CC115)</f>
        <v>0.70782739945735551</v>
      </c>
      <c r="CD91" s="130">
        <f>CD18/(CD9+CD12+CD13-CD115)</f>
        <v>0.87609760018874583</v>
      </c>
      <c r="CE91" s="130">
        <f>CE18/(CE9+CE12+CE13-CE115)</f>
        <v>0.83081506287776785</v>
      </c>
      <c r="CF91" s="130"/>
      <c r="CG91" s="130" t="e">
        <f>CG18/(CG9+CG12+CG13-CG115)</f>
        <v>#DIV/0!</v>
      </c>
      <c r="CH91" s="131"/>
      <c r="CI91" s="130">
        <f>CI18/(CI9+CI12+CI13-CI115)</f>
        <v>0.59886914378029077</v>
      </c>
      <c r="CJ91" s="130">
        <f>CJ18/(CJ9+CJ12+CJ13-CJ115)</f>
        <v>0.56009473060982828</v>
      </c>
      <c r="CK91" s="130" t="e">
        <f>CK18/(CK9+CK12+CK13-CK115)</f>
        <v>#DIV/0!</v>
      </c>
      <c r="CL91" s="131"/>
      <c r="CM91" s="130">
        <f>CM18/(CM9+CM12+CM13-CM115)</f>
        <v>0.68513087266891715</v>
      </c>
      <c r="CN91" s="130">
        <f>CN18/(CN9+CN12+CN13-CN115)</f>
        <v>0.61962754918199925</v>
      </c>
      <c r="CO91" s="130"/>
      <c r="CP91" s="130"/>
      <c r="CQ91" s="130"/>
      <c r="CR91" s="130" t="e">
        <f>CR18/(CR9+CR12+CR13-CR115)</f>
        <v>#DIV/0!</v>
      </c>
      <c r="CS91" s="131"/>
      <c r="CT91" s="130">
        <f>CT18/(CT9+CT12+CT13-CT115)</f>
        <v>2.1656549135553957</v>
      </c>
      <c r="CU91" s="130">
        <f>CU18/(CU9+CU12+CU13-CU115)</f>
        <v>0.82187433530437726</v>
      </c>
      <c r="CV91" s="130" t="e">
        <f>CV18/(CV9+CV12+CV13-CV115)</f>
        <v>#DIV/0!</v>
      </c>
      <c r="CW91" s="131"/>
      <c r="CX91" s="130">
        <f>CX18/(CX9+CX12+CX13-CX115)</f>
        <v>0.75875897768166767</v>
      </c>
      <c r="CY91" s="130">
        <f>CY18/(CY9+CY12+CY13-CY115)</f>
        <v>0.48592650234149354</v>
      </c>
      <c r="CZ91" s="130"/>
      <c r="DA91" s="130"/>
      <c r="DB91" s="130" t="e">
        <f>DB18/(DB9+DB12+DB13-DB115)</f>
        <v>#DIV/0!</v>
      </c>
      <c r="DC91" s="131"/>
      <c r="DD91" s="130">
        <f>DD18/(DD9+DD12+DD13-DD115)</f>
        <v>0.13453794185097348</v>
      </c>
      <c r="DE91" s="130">
        <f>DE18/(DE9+DE12+DE13-DE115)</f>
        <v>0.13434249960679032</v>
      </c>
      <c r="DF91" s="130" t="e">
        <f>DF18/(DF9+DF12+DF13-DF115)</f>
        <v>#DIV/0!</v>
      </c>
      <c r="DG91" s="131"/>
      <c r="DH91" s="130">
        <f>DH18/(DH9+DH12+DH13-DH115)</f>
        <v>0.1138254819441353</v>
      </c>
      <c r="DI91" s="130">
        <f>DI18/(DI9+DI12+DI13-DI115)</f>
        <v>0.11690265859652736</v>
      </c>
      <c r="DJ91" s="130"/>
      <c r="DK91" s="130"/>
      <c r="DL91" s="130"/>
      <c r="DM91" s="130" t="e">
        <f>DM18/(DM9+DM12+DM13-DM115)</f>
        <v>#DIV/0!</v>
      </c>
      <c r="DN91" s="131"/>
      <c r="DO91" s="130">
        <f>DO18/(DO9+DO12+DO13-DO115)</f>
        <v>0.77814585206568554</v>
      </c>
      <c r="DP91" s="130">
        <f>DP18/(DP9+DP12+DP13-DP115)</f>
        <v>0.68323253571741605</v>
      </c>
      <c r="DQ91" s="130"/>
      <c r="DR91" s="130"/>
      <c r="DS91" s="130"/>
      <c r="DT91" s="130" t="e">
        <f>DT18/(DT9+DT12+DT13-DT115)</f>
        <v>#DIV/0!</v>
      </c>
      <c r="DU91" s="131"/>
      <c r="DV91" s="130">
        <f>DV18/(DV9+DV12+DV13-DV115)</f>
        <v>1.3730651778959517</v>
      </c>
      <c r="DW91" s="130">
        <f>DW18/(DW9+DW12+DW13-DW115)</f>
        <v>0.71089578183991098</v>
      </c>
      <c r="DX91" s="130" t="e">
        <f>DX18/(DX9+DX12+DX13-DX115)</f>
        <v>#DIV/0!</v>
      </c>
      <c r="DY91" s="131"/>
      <c r="DZ91" s="130">
        <f>DZ18/(DZ9+DZ12+DZ13-DZ115)</f>
        <v>0.28964042023177733</v>
      </c>
      <c r="EA91" s="130">
        <f>EA18/(EA9+EA12+EA13-EA115)</f>
        <v>0.31259619279060347</v>
      </c>
      <c r="EB91" s="130" t="e">
        <f>EB18/(EB9+EB12+EB13-EB115)</f>
        <v>#DIV/0!</v>
      </c>
      <c r="EC91" s="131"/>
      <c r="ED91" s="130">
        <f>ED18/(ED9+ED12+ED13-ED115)</f>
        <v>0.30089651161244529</v>
      </c>
      <c r="EE91" s="130">
        <f>EE18/(EE9+EE12+EE13-EE115)</f>
        <v>0.32040867095063713</v>
      </c>
      <c r="EF91" s="130" t="e">
        <f>EF18/(EF9+EF12+EF13-EF115)</f>
        <v>#DIV/0!</v>
      </c>
      <c r="EG91" s="131"/>
      <c r="EH91" s="130">
        <f>EH18/(EH9+EH12+EH13-EH115)</f>
        <v>0.75624284563530753</v>
      </c>
      <c r="EI91" s="130">
        <f>EI18/(EI9+EI12+EI13-EI115)</f>
        <v>0.50501616584252562</v>
      </c>
      <c r="EJ91" s="130" t="e">
        <f>EJ18/(EJ9+EJ12+EJ13-EJ115)</f>
        <v>#DIV/0!</v>
      </c>
      <c r="EK91" s="131"/>
      <c r="EL91" s="130">
        <f>EL18/(EL9+EL12+EL13-EL115)</f>
        <v>1.138454090689043</v>
      </c>
      <c r="EM91" s="130">
        <f>EM18/(EM9+EM12+EM13-EM115)</f>
        <v>0.50937400699078483</v>
      </c>
      <c r="EN91" s="130" t="e">
        <f>EN18/(EN9+EN12+EN13-EN115)</f>
        <v>#DIV/0!</v>
      </c>
      <c r="EO91" s="131"/>
      <c r="EP91" s="130">
        <f>EP18/(EP9+EP12+EP13-EP115)</f>
        <v>0.28641431313115118</v>
      </c>
      <c r="EQ91" s="130">
        <f>EQ18/(EQ9+EQ12+EQ13-EQ115)</f>
        <v>0.30849599865422289</v>
      </c>
      <c r="ER91" s="130" t="e">
        <f>ER18/(ER9+ER12+ER13-ER115)</f>
        <v>#DIV/0!</v>
      </c>
      <c r="ES91" s="131"/>
      <c r="ET91" s="130">
        <f>ET18/(ET9+ET12+ET13-ET115)</f>
        <v>0.82214963180042444</v>
      </c>
      <c r="EU91" s="130">
        <f>EU18/(EU9+EU12+EU13-EU115)</f>
        <v>0.8354670531669931</v>
      </c>
      <c r="EV91" s="130" t="e">
        <f>EV18/(EV9+EV12+EV13-EV115)</f>
        <v>#DIV/0!</v>
      </c>
      <c r="EW91" s="131"/>
      <c r="EX91" s="130">
        <f>EX18/(EX9+EX12+EX13-EX115)</f>
        <v>0.92639938724630289</v>
      </c>
      <c r="EY91" s="130" t="e">
        <f>EY18/(EY9+EY12+EY13-EY115)</f>
        <v>#DIV/0!</v>
      </c>
      <c r="EZ91" s="130" t="e">
        <f>EZ18/(EZ9+EZ12+EZ13-EZ115)</f>
        <v>#DIV/0!</v>
      </c>
      <c r="FA91" s="131"/>
      <c r="FB91" s="130">
        <f>FB18/(FB9+FB12+FB13-FB115)</f>
        <v>0.79571572890096953</v>
      </c>
      <c r="FC91" s="130">
        <f>FC18/(FC9+FC12+FC13-FC115)</f>
        <v>1.1983642767595968</v>
      </c>
      <c r="FD91" s="130" t="e">
        <f>FD18/(FD9+FD12+FD13-FD115)</f>
        <v>#DIV/0!</v>
      </c>
      <c r="FE91" s="131"/>
      <c r="FF91" s="130">
        <f>FF18/(FF9+FF12+FF13-FF115)</f>
        <v>0.71704376692583205</v>
      </c>
      <c r="FG91" s="130">
        <f>FG18/(FG9+FG12+FG13-FG115)</f>
        <v>0.62602038658376691</v>
      </c>
      <c r="FH91" s="130" t="e">
        <f>FH18/(FH9+FH12+FH13-FH115)</f>
        <v>#DIV/0!</v>
      </c>
      <c r="FI91" s="131"/>
      <c r="FJ91" s="130">
        <f>FJ18/(FJ9+FJ12+FJ13-FJ115)</f>
        <v>0.71220343807393149</v>
      </c>
      <c r="FK91" s="130">
        <f>FK18/(FK9+FK12+FK13-FK115)</f>
        <v>0.74237213611595287</v>
      </c>
      <c r="FL91" s="130" t="e">
        <f>FL18/(FL9+FL12+FL13-FL115)</f>
        <v>#DIV/0!</v>
      </c>
      <c r="FM91" s="131"/>
      <c r="FN91" s="130">
        <f>FN18/(FN9+FN12+FN13-FN115)</f>
        <v>0.39601934508053777</v>
      </c>
      <c r="FO91" s="130">
        <f>FO18/(FO9+FO12+FO13-FO115)</f>
        <v>0.51510551626266154</v>
      </c>
      <c r="FP91" s="130" t="e">
        <f>FP18/(FP9+FP12+FP13-FP115)</f>
        <v>#DIV/0!</v>
      </c>
      <c r="FQ91" s="131"/>
      <c r="FR91" s="130">
        <f>FR18/(FR9+FR12+FR13-FR115)</f>
        <v>0.84924412442378161</v>
      </c>
      <c r="FS91" s="130">
        <f>FS18/(FS9+FS12+FS13-FS115)</f>
        <v>1.0133351898136136</v>
      </c>
      <c r="FT91" s="130" t="e">
        <f>FT18/(FT9+FT12+FT13-FT115)</f>
        <v>#DIV/0!</v>
      </c>
      <c r="FU91" s="131"/>
      <c r="FV91" s="130">
        <f>FV18/(FV9+FV12+FV13-FV115)</f>
        <v>0.59582194453851944</v>
      </c>
      <c r="FW91" s="130">
        <f>FW18/(FW9+FW12+FW13-FW115)</f>
        <v>0.65544451898341738</v>
      </c>
      <c r="FX91" s="130" t="e">
        <f>FX18/(FX9+FX12+FX13-FX115)</f>
        <v>#DIV/0!</v>
      </c>
      <c r="FY91" s="131"/>
      <c r="FZ91" s="130">
        <f>FZ18/(FZ9+FZ12+FZ13-FZ115)</f>
        <v>0.35592521308770964</v>
      </c>
      <c r="GA91" s="130">
        <f>GA18/(GA9+GA12+GA13-GA115)</f>
        <v>1.7986698911729142</v>
      </c>
      <c r="GB91" s="130" t="e">
        <f>GB18/(GB9+GB12+GB13-GB115)</f>
        <v>#DIV/0!</v>
      </c>
      <c r="GC91" s="131"/>
      <c r="GD91" s="130">
        <f>GD18/(GD9+GD12+GD13-GD115)</f>
        <v>0.81883839615172826</v>
      </c>
      <c r="GE91" s="130">
        <f>GE18/(GE9+GE12+GE13-GE115)</f>
        <v>0.90771900837920949</v>
      </c>
      <c r="GF91" s="130" t="e">
        <f>GF18/(GF9+GF12+GF13-GF115)</f>
        <v>#DIV/0!</v>
      </c>
      <c r="GG91" s="131"/>
      <c r="GH91" s="130">
        <f>GH18/(GH9+GH12+GH13-GH115)</f>
        <v>0.88550538715869331</v>
      </c>
      <c r="GI91" s="130">
        <f>GI18/(GI9+GI12+GI13-GI115)</f>
        <v>0.75010988165539805</v>
      </c>
      <c r="GJ91" s="130" t="e">
        <f>GJ18/(GJ9+GJ12+GJ13-GJ115)</f>
        <v>#DIV/0!</v>
      </c>
      <c r="GK91" s="131"/>
      <c r="GL91" s="130">
        <f>GL18/(GL9+GL12+GL13-GL115)</f>
        <v>1.2195760124444486</v>
      </c>
      <c r="GM91" s="130">
        <f>GM18/(GM9+GM12+GM13-GM115)</f>
        <v>2.6111742714415227</v>
      </c>
      <c r="GN91" s="130" t="e">
        <f>GN18/(GN9+GN12+GN13-GN115)</f>
        <v>#DIV/0!</v>
      </c>
      <c r="GO91" s="131"/>
      <c r="GP91" s="130">
        <f>GP18/(GP9+GP12+GP13-GP115)</f>
        <v>26.505937016004129</v>
      </c>
      <c r="GQ91" s="130">
        <f>GQ18/(GQ9+GQ12+GQ13-GQ115)</f>
        <v>0.48952989951514297</v>
      </c>
      <c r="GR91" s="130" t="e">
        <f>GR18/(GR9+GR12+GR13-GR115)</f>
        <v>#DIV/0!</v>
      </c>
      <c r="GS91" s="131"/>
      <c r="GT91" s="130">
        <f>GT18/(GT9+GT12+GT13-GT115)</f>
        <v>0.96250000000000002</v>
      </c>
      <c r="GU91" s="130" t="e">
        <f>GU18/(GU9+GU12+GU13-GU115)</f>
        <v>#DIV/0!</v>
      </c>
      <c r="GV91" s="130" t="e">
        <f>GV18/(GV9+GV12+GV13-GV115)</f>
        <v>#DIV/0!</v>
      </c>
      <c r="GW91" s="131"/>
      <c r="GX91" s="130">
        <f>GX18/(GX9+GX12+GX13-GX115)</f>
        <v>0.51995443583646872</v>
      </c>
      <c r="GY91" s="130">
        <f>GY18/(GY9+GY12+GY13-GY115)</f>
        <v>0.42740551375701247</v>
      </c>
      <c r="GZ91" s="130" t="e">
        <f>GZ18/(GZ9+GZ12+GZ13-GZ115)</f>
        <v>#DIV/0!</v>
      </c>
      <c r="HA91" s="131"/>
      <c r="HB91" s="130">
        <f>HB18/(HB9+HB12+HB13-HB115)</f>
        <v>3.6509798475900856E-2</v>
      </c>
      <c r="HC91" s="130" t="e">
        <f>HC18/(HC9+HC12+HC13-HC115)</f>
        <v>#DIV/0!</v>
      </c>
      <c r="HD91" s="130" t="e">
        <f>HD18/(HD9+HD12+HD13-HD115)</f>
        <v>#DIV/0!</v>
      </c>
      <c r="HE91" s="131"/>
      <c r="HF91" s="130">
        <f>HF18/(HF9+HF12+HF13-HF115)</f>
        <v>2.0049813200498028E-2</v>
      </c>
      <c r="HG91" s="130">
        <f>HG18/(HG9+HG12+HG13-HG115)</f>
        <v>0.18642976656237892</v>
      </c>
      <c r="HH91" s="130">
        <f>HH18/(HH9+HH12+HH13-HH115)</f>
        <v>1.9773606533887083E-2</v>
      </c>
    </row>
    <row r="92" spans="1:256" s="85" customFormat="1" ht="14.25" customHeight="1" x14ac:dyDescent="0.2">
      <c r="A92" s="162"/>
      <c r="B92" s="163"/>
      <c r="C92" s="125"/>
      <c r="D92" s="126"/>
      <c r="E92" s="92"/>
      <c r="F92" s="92"/>
      <c r="G92" s="92"/>
      <c r="H92" s="92"/>
      <c r="I92" s="92"/>
      <c r="J92" s="91"/>
      <c r="K92" s="92"/>
      <c r="N92" s="125"/>
      <c r="O92" s="126"/>
      <c r="U92" s="91"/>
      <c r="V92" s="92"/>
      <c r="AB92" s="91"/>
      <c r="AC92" s="92"/>
      <c r="AF92" s="91"/>
      <c r="AG92" s="92"/>
      <c r="AJ92" s="91"/>
      <c r="AK92" s="92"/>
      <c r="AP92" s="91"/>
      <c r="AQ92" s="92"/>
      <c r="AW92" s="91"/>
      <c r="AX92" s="92"/>
      <c r="BA92" s="91"/>
      <c r="BB92" s="92"/>
      <c r="BC92" s="92"/>
      <c r="BD92" s="92"/>
      <c r="BE92" s="91"/>
      <c r="BF92" s="92"/>
      <c r="BG92" s="92"/>
      <c r="BH92" s="92"/>
      <c r="BI92" s="92"/>
      <c r="BJ92" s="92"/>
      <c r="BK92" s="92"/>
      <c r="BL92" s="91"/>
      <c r="BM92" s="92"/>
      <c r="BN92" s="92"/>
      <c r="BO92" s="92"/>
      <c r="BP92" s="92"/>
      <c r="BQ92" s="92"/>
      <c r="BR92" s="92"/>
      <c r="BS92" s="91"/>
      <c r="BT92" s="92"/>
      <c r="BU92" s="92"/>
      <c r="BV92" s="92"/>
      <c r="BW92" s="91"/>
      <c r="BX92" s="92"/>
      <c r="CA92" s="91"/>
      <c r="CB92" s="92"/>
      <c r="CG92" s="91"/>
      <c r="CH92" s="92"/>
      <c r="CK92" s="91"/>
      <c r="CL92" s="92"/>
      <c r="CR92" s="91"/>
      <c r="CS92" s="92"/>
      <c r="CV92" s="91"/>
      <c r="CW92" s="92"/>
      <c r="DB92" s="91"/>
      <c r="DC92" s="92"/>
      <c r="DF92" s="91"/>
      <c r="DG92" s="92"/>
      <c r="DM92" s="91"/>
      <c r="DN92" s="92"/>
      <c r="DT92" s="91"/>
      <c r="DU92" s="92"/>
      <c r="DX92" s="91"/>
      <c r="DY92" s="92"/>
      <c r="EB92" s="91"/>
      <c r="EC92" s="92"/>
      <c r="EF92" s="91"/>
      <c r="EG92" s="92"/>
      <c r="EJ92" s="91"/>
      <c r="EK92" s="92"/>
      <c r="EN92" s="91"/>
      <c r="EO92" s="92"/>
      <c r="ER92" s="91"/>
      <c r="ES92" s="92"/>
      <c r="EV92" s="91"/>
      <c r="EW92" s="92"/>
      <c r="EZ92" s="91"/>
      <c r="FA92" s="92"/>
      <c r="FD92" s="91"/>
      <c r="FE92" s="92"/>
      <c r="FH92" s="91"/>
      <c r="FI92" s="92"/>
      <c r="FL92" s="91"/>
      <c r="FM92" s="92"/>
      <c r="FP92" s="91"/>
      <c r="FQ92" s="92"/>
      <c r="FT92" s="91"/>
      <c r="FU92" s="92"/>
      <c r="FX92" s="91"/>
      <c r="FY92" s="92"/>
      <c r="GB92" s="91"/>
      <c r="GC92" s="92"/>
      <c r="GF92" s="91"/>
      <c r="GG92" s="92"/>
      <c r="GJ92" s="91"/>
      <c r="GK92" s="92"/>
      <c r="GN92" s="91"/>
      <c r="GO92" s="92"/>
      <c r="GR92" s="91"/>
      <c r="GS92" s="92"/>
      <c r="GV92" s="91"/>
      <c r="GW92" s="92"/>
      <c r="GZ92" s="91"/>
      <c r="HA92" s="92"/>
      <c r="HD92" s="91"/>
      <c r="HE92" s="9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85" customFormat="1" ht="14.25" customHeight="1" x14ac:dyDescent="0.2">
      <c r="A93" s="148" t="s">
        <v>133</v>
      </c>
      <c r="B93" s="148"/>
      <c r="C93" s="125"/>
      <c r="D93" s="126"/>
      <c r="E93" s="92"/>
      <c r="F93" s="92"/>
      <c r="G93" s="92"/>
      <c r="H93" s="92"/>
      <c r="I93" s="92"/>
      <c r="J93" s="91"/>
      <c r="K93" s="92"/>
      <c r="N93" s="125"/>
      <c r="O93" s="126"/>
      <c r="U93" s="91"/>
      <c r="V93" s="92"/>
      <c r="AB93" s="91"/>
      <c r="AC93" s="92"/>
      <c r="AF93" s="91"/>
      <c r="AG93" s="92"/>
      <c r="AJ93" s="91"/>
      <c r="AK93" s="92"/>
      <c r="AP93" s="91"/>
      <c r="AQ93" s="92"/>
      <c r="AW93" s="91"/>
      <c r="AX93" s="92"/>
      <c r="BA93" s="91"/>
      <c r="BB93" s="92"/>
      <c r="BC93" s="92"/>
      <c r="BD93" s="92"/>
      <c r="BE93" s="91"/>
      <c r="BF93" s="92"/>
      <c r="BG93" s="92"/>
      <c r="BH93" s="92"/>
      <c r="BI93" s="92"/>
      <c r="BJ93" s="92"/>
      <c r="BK93" s="92"/>
      <c r="BL93" s="91"/>
      <c r="BM93" s="92"/>
      <c r="BN93" s="92"/>
      <c r="BO93" s="92"/>
      <c r="BP93" s="92"/>
      <c r="BQ93" s="92"/>
      <c r="BR93" s="92"/>
      <c r="BS93" s="91"/>
      <c r="BT93" s="92"/>
      <c r="BU93" s="92"/>
      <c r="BV93" s="92"/>
      <c r="BW93" s="91"/>
      <c r="BX93" s="92"/>
      <c r="CA93" s="91"/>
      <c r="CB93" s="92"/>
      <c r="CG93" s="91"/>
      <c r="CH93" s="92"/>
      <c r="CK93" s="91"/>
      <c r="CL93" s="92"/>
      <c r="CR93" s="91"/>
      <c r="CS93" s="92"/>
      <c r="CV93" s="91"/>
      <c r="CW93" s="92"/>
      <c r="DB93" s="91"/>
      <c r="DC93" s="92"/>
      <c r="DF93" s="91"/>
      <c r="DG93" s="92"/>
      <c r="DM93" s="91"/>
      <c r="DN93" s="92"/>
      <c r="DT93" s="91"/>
      <c r="DU93" s="92"/>
      <c r="DX93" s="91"/>
      <c r="DY93" s="92"/>
      <c r="EB93" s="91"/>
      <c r="EC93" s="92"/>
      <c r="EF93" s="91"/>
      <c r="EG93" s="92"/>
      <c r="EJ93" s="91"/>
      <c r="EK93" s="92"/>
      <c r="EN93" s="91"/>
      <c r="EO93" s="92"/>
      <c r="ER93" s="91"/>
      <c r="ES93" s="92"/>
      <c r="EV93" s="91"/>
      <c r="EW93" s="92"/>
      <c r="EZ93" s="91"/>
      <c r="FA93" s="92"/>
      <c r="FD93" s="91"/>
      <c r="FE93" s="92"/>
      <c r="FH93" s="91"/>
      <c r="FI93" s="92"/>
      <c r="FL93" s="91"/>
      <c r="FM93" s="92"/>
      <c r="FP93" s="91"/>
      <c r="FQ93" s="92"/>
      <c r="FT93" s="91"/>
      <c r="FU93" s="92"/>
      <c r="FX93" s="91"/>
      <c r="FY93" s="92"/>
      <c r="GB93" s="91"/>
      <c r="GC93" s="92"/>
      <c r="GF93" s="91"/>
      <c r="GG93" s="92"/>
      <c r="GJ93" s="91"/>
      <c r="GK93" s="92"/>
      <c r="GN93" s="91"/>
      <c r="GO93" s="92"/>
      <c r="GR93" s="91"/>
      <c r="GS93" s="92"/>
      <c r="GV93" s="91"/>
      <c r="GW93" s="92"/>
      <c r="GZ93" s="91"/>
      <c r="HA93" s="92"/>
      <c r="HD93" s="91"/>
      <c r="HE93" s="9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85" customFormat="1" ht="14.25" customHeight="1" x14ac:dyDescent="0.2">
      <c r="A94" s="162"/>
      <c r="B94" s="160" t="s">
        <v>5</v>
      </c>
      <c r="C94" s="125"/>
      <c r="D94" s="126"/>
      <c r="E94" s="164">
        <f>E37</f>
        <v>211666.01300000001</v>
      </c>
      <c r="F94" s="164">
        <f>F37</f>
        <v>177359.57399999999</v>
      </c>
      <c r="G94" s="164">
        <f>G37</f>
        <v>152551.51300000001</v>
      </c>
      <c r="H94" s="164">
        <f>H37</f>
        <v>138432.04800000001</v>
      </c>
      <c r="I94" s="164"/>
      <c r="J94" s="164">
        <f>J37</f>
        <v>0</v>
      </c>
      <c r="K94" s="164"/>
      <c r="L94" s="164">
        <f>L37</f>
        <v>4852.1769999999997</v>
      </c>
      <c r="M94" s="164">
        <f>M37</f>
        <v>10348</v>
      </c>
      <c r="N94" s="164"/>
      <c r="O94" s="164"/>
      <c r="P94" s="164">
        <f>P37</f>
        <v>32293.571</v>
      </c>
      <c r="Q94" s="164">
        <f>Q37</f>
        <v>29045.374</v>
      </c>
      <c r="R94" s="164">
        <f>R37</f>
        <v>27213.427</v>
      </c>
      <c r="S94" s="164">
        <f>S37</f>
        <v>30362.764999999999</v>
      </c>
      <c r="T94" s="164"/>
      <c r="U94" s="164"/>
      <c r="V94" s="164"/>
      <c r="W94" s="164">
        <f>W37</f>
        <v>29774.087</v>
      </c>
      <c r="X94" s="164">
        <f>X37</f>
        <v>24427.084999999999</v>
      </c>
      <c r="Y94" s="164">
        <f>Y37</f>
        <v>21949.243999999999</v>
      </c>
      <c r="Z94" s="164">
        <f>Z37</f>
        <v>19961.994999999999</v>
      </c>
      <c r="AA94" s="164"/>
      <c r="AB94" s="164"/>
      <c r="AC94" s="164"/>
      <c r="AD94" s="164">
        <f>AD37</f>
        <v>12181.796</v>
      </c>
      <c r="AE94" s="164">
        <f>AE37</f>
        <v>11636.213</v>
      </c>
      <c r="AF94" s="164"/>
      <c r="AG94" s="164"/>
      <c r="AH94" s="164">
        <f>AH37</f>
        <v>36763.264999999999</v>
      </c>
      <c r="AI94" s="164">
        <f>AI37</f>
        <v>8393.8119999999999</v>
      </c>
      <c r="AJ94" s="164"/>
      <c r="AK94" s="164"/>
      <c r="AL94" s="164">
        <f>AL37</f>
        <v>5846.2910000000002</v>
      </c>
      <c r="AM94" s="164">
        <f>AM37</f>
        <v>3670.1060000000002</v>
      </c>
      <c r="AN94" s="164"/>
      <c r="AO94" s="164"/>
      <c r="AP94" s="164"/>
      <c r="AQ94" s="164"/>
      <c r="AR94" s="164">
        <f>AR37</f>
        <v>14001.914000000001</v>
      </c>
      <c r="AS94" s="164">
        <f>AS37</f>
        <v>10446.491</v>
      </c>
      <c r="AT94" s="164">
        <f>AT37</f>
        <v>8724.7630000000008</v>
      </c>
      <c r="AU94" s="164">
        <f>AU37</f>
        <v>6276.9570000000003</v>
      </c>
      <c r="AV94" s="164"/>
      <c r="AW94" s="164">
        <f>AW37</f>
        <v>0</v>
      </c>
      <c r="AX94" s="164"/>
      <c r="AY94" s="164">
        <f>AY37</f>
        <v>557134</v>
      </c>
      <c r="AZ94" s="164">
        <f>AZ37</f>
        <v>560320</v>
      </c>
      <c r="BA94" s="164">
        <f>BA37</f>
        <v>0</v>
      </c>
      <c r="BB94" s="164"/>
      <c r="BC94" s="164">
        <f>BC37</f>
        <v>0</v>
      </c>
      <c r="BD94" s="164"/>
      <c r="BE94" s="164"/>
      <c r="BF94" s="164"/>
      <c r="BG94" s="164">
        <f>BG37</f>
        <v>522829</v>
      </c>
      <c r="BH94" s="164">
        <f>BH37</f>
        <v>512798</v>
      </c>
      <c r="BI94" s="164">
        <f>BI37</f>
        <v>369177</v>
      </c>
      <c r="BJ94" s="164">
        <f>BJ37</f>
        <v>194547</v>
      </c>
      <c r="BK94" s="164"/>
      <c r="BL94" s="164">
        <f>BL37</f>
        <v>0</v>
      </c>
      <c r="BM94" s="164"/>
      <c r="BN94" s="164">
        <f>BN37</f>
        <v>27232.792000000001</v>
      </c>
      <c r="BO94" s="164">
        <f>BO37</f>
        <v>24514.191999999999</v>
      </c>
      <c r="BP94" s="164">
        <f>BP37</f>
        <v>15168.4</v>
      </c>
      <c r="BQ94" s="164">
        <f>BQ37</f>
        <v>9226.91</v>
      </c>
      <c r="BR94" s="164"/>
      <c r="BS94" s="164">
        <f t="shared" ref="BS94:BZ94" si="19">BS37</f>
        <v>0</v>
      </c>
      <c r="BT94" s="164"/>
      <c r="BU94" s="164">
        <f t="shared" si="19"/>
        <v>5200.0429999999997</v>
      </c>
      <c r="BV94" s="164">
        <f t="shared" si="19"/>
        <v>3693.884</v>
      </c>
      <c r="BW94" s="164">
        <f t="shared" si="19"/>
        <v>0</v>
      </c>
      <c r="BX94" s="164"/>
      <c r="BY94" s="164">
        <f t="shared" si="19"/>
        <v>54974</v>
      </c>
      <c r="BZ94" s="164">
        <f t="shared" si="19"/>
        <v>51173</v>
      </c>
      <c r="CA94" s="164"/>
      <c r="CB94" s="164"/>
      <c r="CC94" s="164">
        <f>CC37</f>
        <v>127045.68700000001</v>
      </c>
      <c r="CD94" s="164">
        <f>CD37</f>
        <v>38561.374000000003</v>
      </c>
      <c r="CE94" s="164">
        <f>CE37</f>
        <v>16408.611000000001</v>
      </c>
      <c r="CF94" s="164"/>
      <c r="CG94" s="164">
        <f t="shared" ref="CG94:CN94" si="20">CG37</f>
        <v>0</v>
      </c>
      <c r="CH94" s="164"/>
      <c r="CI94" s="164">
        <f t="shared" si="20"/>
        <v>40242</v>
      </c>
      <c r="CJ94" s="164">
        <f t="shared" si="20"/>
        <v>41332</v>
      </c>
      <c r="CK94" s="164">
        <f t="shared" si="20"/>
        <v>0</v>
      </c>
      <c r="CL94" s="164"/>
      <c r="CM94" s="164">
        <f t="shared" si="20"/>
        <v>6915.4679999999998</v>
      </c>
      <c r="CN94" s="164">
        <f t="shared" si="20"/>
        <v>6958.8940000000002</v>
      </c>
      <c r="CO94" s="164"/>
      <c r="CP94" s="164"/>
      <c r="CQ94" s="164"/>
      <c r="CR94" s="164">
        <f t="shared" ref="CR94:CY94" si="21">CR37</f>
        <v>0</v>
      </c>
      <c r="CS94" s="164"/>
      <c r="CT94" s="164">
        <f t="shared" si="21"/>
        <v>3624.5659999999998</v>
      </c>
      <c r="CU94" s="164">
        <f t="shared" si="21"/>
        <v>3991.7024000000001</v>
      </c>
      <c r="CV94" s="164">
        <f t="shared" si="21"/>
        <v>0</v>
      </c>
      <c r="CW94" s="164"/>
      <c r="CX94" s="164">
        <f t="shared" si="21"/>
        <v>7790.1329999999998</v>
      </c>
      <c r="CY94" s="164">
        <f t="shared" si="21"/>
        <v>2971.0250000000001</v>
      </c>
      <c r="CZ94" s="164"/>
      <c r="DA94" s="164"/>
      <c r="DB94" s="164">
        <f t="shared" ref="DB94:DI94" si="22">DB37</f>
        <v>0</v>
      </c>
      <c r="DC94" s="164"/>
      <c r="DD94" s="164">
        <f t="shared" si="22"/>
        <v>14952.263000000001</v>
      </c>
      <c r="DE94" s="164">
        <f t="shared" si="22"/>
        <v>13898.593000000001</v>
      </c>
      <c r="DF94" s="164">
        <f t="shared" si="22"/>
        <v>0</v>
      </c>
      <c r="DG94" s="164"/>
      <c r="DH94" s="164">
        <f t="shared" si="22"/>
        <v>113423.05100000001</v>
      </c>
      <c r="DI94" s="164">
        <f t="shared" si="22"/>
        <v>89862.167000000001</v>
      </c>
      <c r="DJ94" s="164"/>
      <c r="DK94" s="164"/>
      <c r="DL94" s="164"/>
      <c r="DM94" s="164">
        <f>DM37</f>
        <v>0</v>
      </c>
      <c r="DN94" s="164"/>
      <c r="DO94" s="164">
        <f>DO37</f>
        <v>306100</v>
      </c>
      <c r="DP94" s="164">
        <f>DP37</f>
        <v>224765</v>
      </c>
      <c r="DQ94" s="164"/>
      <c r="DR94" s="164"/>
      <c r="DS94" s="164"/>
      <c r="DT94" s="164">
        <f t="shared" ref="DT94:GE94" si="23">DT37</f>
        <v>0</v>
      </c>
      <c r="DU94" s="164"/>
      <c r="DV94" s="164">
        <f t="shared" si="23"/>
        <v>6630.7790000000005</v>
      </c>
      <c r="DW94" s="164">
        <f t="shared" si="23"/>
        <v>5993.9770000000008</v>
      </c>
      <c r="DX94" s="164">
        <f t="shared" si="23"/>
        <v>0</v>
      </c>
      <c r="DY94" s="164"/>
      <c r="DZ94" s="164">
        <f t="shared" si="23"/>
        <v>690847</v>
      </c>
      <c r="EA94" s="164">
        <f t="shared" si="23"/>
        <v>578517</v>
      </c>
      <c r="EB94" s="164">
        <f t="shared" si="23"/>
        <v>0</v>
      </c>
      <c r="EC94" s="164"/>
      <c r="ED94" s="164">
        <f t="shared" si="23"/>
        <v>282602.82400000002</v>
      </c>
      <c r="EE94" s="164">
        <f t="shared" si="23"/>
        <v>227296.38200000001</v>
      </c>
      <c r="EF94" s="164">
        <f t="shared" si="23"/>
        <v>0</v>
      </c>
      <c r="EG94" s="164"/>
      <c r="EH94" s="164">
        <f t="shared" si="23"/>
        <v>5963.6580000000004</v>
      </c>
      <c r="EI94" s="164">
        <f t="shared" si="23"/>
        <v>4549.5079999999998</v>
      </c>
      <c r="EJ94" s="164">
        <f t="shared" si="23"/>
        <v>0</v>
      </c>
      <c r="EK94" s="164"/>
      <c r="EL94" s="164">
        <f t="shared" si="23"/>
        <v>54474</v>
      </c>
      <c r="EM94" s="164">
        <f t="shared" si="23"/>
        <v>46125</v>
      </c>
      <c r="EN94" s="164">
        <f t="shared" si="23"/>
        <v>0</v>
      </c>
      <c r="EO94" s="164"/>
      <c r="EP94" s="164">
        <f t="shared" si="23"/>
        <v>31986.859</v>
      </c>
      <c r="EQ94" s="164">
        <f t="shared" si="23"/>
        <v>25172.205000000002</v>
      </c>
      <c r="ER94" s="164">
        <f t="shared" si="23"/>
        <v>0</v>
      </c>
      <c r="ES94" s="164"/>
      <c r="ET94" s="164">
        <f t="shared" si="23"/>
        <v>49006.038999999997</v>
      </c>
      <c r="EU94" s="164">
        <f t="shared" si="23"/>
        <v>37705.358999999997</v>
      </c>
      <c r="EV94" s="164">
        <f t="shared" si="23"/>
        <v>0</v>
      </c>
      <c r="EW94" s="164"/>
      <c r="EX94" s="164">
        <f t="shared" si="23"/>
        <v>1270.93</v>
      </c>
      <c r="EY94" s="164">
        <f t="shared" si="23"/>
        <v>0</v>
      </c>
      <c r="EZ94" s="164">
        <f t="shared" si="23"/>
        <v>0</v>
      </c>
      <c r="FA94" s="164"/>
      <c r="FB94" s="164">
        <f t="shared" si="23"/>
        <v>3271.4870000000001</v>
      </c>
      <c r="FC94" s="164">
        <f t="shared" si="23"/>
        <v>3022.232</v>
      </c>
      <c r="FD94" s="164">
        <f t="shared" si="23"/>
        <v>0</v>
      </c>
      <c r="FE94" s="164"/>
      <c r="FF94" s="164">
        <f t="shared" si="23"/>
        <v>271584</v>
      </c>
      <c r="FG94" s="164">
        <f t="shared" si="23"/>
        <v>266404</v>
      </c>
      <c r="FH94" s="164">
        <f t="shared" si="23"/>
        <v>0</v>
      </c>
      <c r="FI94" s="164"/>
      <c r="FJ94" s="164">
        <f t="shared" si="23"/>
        <v>32928.671000000002</v>
      </c>
      <c r="FK94" s="164">
        <f t="shared" si="23"/>
        <v>20201.706999999999</v>
      </c>
      <c r="FL94" s="164">
        <f t="shared" si="23"/>
        <v>0</v>
      </c>
      <c r="FM94" s="164"/>
      <c r="FN94" s="164">
        <f t="shared" si="23"/>
        <v>854392.74399999995</v>
      </c>
      <c r="FO94" s="164">
        <f t="shared" si="23"/>
        <v>746499.97499999998</v>
      </c>
      <c r="FP94" s="164">
        <f t="shared" si="23"/>
        <v>0</v>
      </c>
      <c r="FQ94" s="164"/>
      <c r="FR94" s="164">
        <f t="shared" si="23"/>
        <v>28390.5</v>
      </c>
      <c r="FS94" s="164">
        <f t="shared" si="23"/>
        <v>28788.577000000001</v>
      </c>
      <c r="FT94" s="164">
        <f t="shared" si="23"/>
        <v>0</v>
      </c>
      <c r="FU94" s="164"/>
      <c r="FV94" s="164">
        <f t="shared" si="23"/>
        <v>5796.44</v>
      </c>
      <c r="FW94" s="164">
        <f t="shared" si="23"/>
        <v>4752.6899999999996</v>
      </c>
      <c r="FX94" s="164">
        <f t="shared" si="23"/>
        <v>0</v>
      </c>
      <c r="FY94" s="164"/>
      <c r="FZ94" s="164">
        <f t="shared" si="23"/>
        <v>171608</v>
      </c>
      <c r="GA94" s="164">
        <f t="shared" si="23"/>
        <v>171944</v>
      </c>
      <c r="GB94" s="164">
        <f t="shared" si="23"/>
        <v>0</v>
      </c>
      <c r="GC94" s="164"/>
      <c r="GD94" s="164">
        <f t="shared" si="23"/>
        <v>1218.7380000000001</v>
      </c>
      <c r="GE94" s="164">
        <f t="shared" si="23"/>
        <v>1047.2940000000001</v>
      </c>
      <c r="GF94" s="164">
        <f t="shared" ref="GF94:GZ94" si="24">GF37</f>
        <v>0</v>
      </c>
      <c r="GG94" s="164"/>
      <c r="GH94" s="164">
        <f t="shared" si="24"/>
        <v>380021.13699999999</v>
      </c>
      <c r="GI94" s="164">
        <f t="shared" si="24"/>
        <v>425465.14500000002</v>
      </c>
      <c r="GJ94" s="164">
        <f t="shared" si="24"/>
        <v>0</v>
      </c>
      <c r="GK94" s="164"/>
      <c r="GL94" s="164">
        <f t="shared" si="24"/>
        <v>31368.802</v>
      </c>
      <c r="GM94" s="164">
        <f t="shared" si="24"/>
        <v>8575.125</v>
      </c>
      <c r="GN94" s="164">
        <f t="shared" si="24"/>
        <v>0</v>
      </c>
      <c r="GO94" s="164"/>
      <c r="GP94" s="164">
        <f t="shared" si="24"/>
        <v>1487156</v>
      </c>
      <c r="GQ94" s="164">
        <f t="shared" si="24"/>
        <v>1149580</v>
      </c>
      <c r="GR94" s="164">
        <f t="shared" si="24"/>
        <v>0</v>
      </c>
      <c r="GS94" s="164"/>
      <c r="GT94" s="164">
        <f t="shared" si="24"/>
        <v>120801</v>
      </c>
      <c r="GU94" s="164">
        <f t="shared" si="24"/>
        <v>0</v>
      </c>
      <c r="GV94" s="164">
        <f t="shared" si="24"/>
        <v>0</v>
      </c>
      <c r="GW94" s="164"/>
      <c r="GX94" s="164">
        <f t="shared" si="24"/>
        <v>18831.053</v>
      </c>
      <c r="GY94" s="164">
        <f t="shared" si="24"/>
        <v>16552.453000000001</v>
      </c>
      <c r="GZ94" s="164">
        <f t="shared" si="24"/>
        <v>0</v>
      </c>
      <c r="HA94" s="164"/>
      <c r="HB94" s="164">
        <f>HB37</f>
        <v>215292.2</v>
      </c>
      <c r="HC94" s="164">
        <f>HC37</f>
        <v>0</v>
      </c>
      <c r="HD94" s="164">
        <f>HD37</f>
        <v>0</v>
      </c>
      <c r="HE94" s="164"/>
      <c r="HF94" s="164">
        <f>HF37</f>
        <v>458487.3</v>
      </c>
      <c r="HG94" s="164">
        <f>HG37</f>
        <v>246295.58499999999</v>
      </c>
      <c r="HH94" s="164">
        <f>HH37</f>
        <v>244178.967</v>
      </c>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x14ac:dyDescent="0.2">
      <c r="B95" s="157" t="s">
        <v>9</v>
      </c>
      <c r="C95" s="117"/>
      <c r="D95" s="118"/>
      <c r="E95" s="130">
        <f>(E28-F28)/E28/E142</f>
        <v>0.20269536893402795</v>
      </c>
      <c r="F95" s="130">
        <f>(F28-G28)/F28/F142</f>
        <v>0.19581711126089227</v>
      </c>
      <c r="G95" s="130">
        <f>(G28-H28)/G28/G142</f>
        <v>0.10136836939833029</v>
      </c>
      <c r="H95" s="130">
        <f>(H28-I28)/H28/H142</f>
        <v>1</v>
      </c>
      <c r="I95" s="130"/>
      <c r="J95" s="114"/>
      <c r="K95" s="108"/>
      <c r="L95" s="130">
        <f>(L28-M28)/L28/L142</f>
        <v>-1.680399696454538</v>
      </c>
      <c r="M95" s="111"/>
      <c r="N95" s="117"/>
      <c r="O95" s="118"/>
      <c r="P95" s="130">
        <f>(P28-Q28)/P28/P142</f>
        <v>0.10894441483525097</v>
      </c>
      <c r="Q95" s="130">
        <f>(Q28-R28)/Q28/Q142</f>
        <v>0.1663395257195131</v>
      </c>
      <c r="R95" s="130">
        <f>(R28-S28)/R28/R142</f>
        <v>-0.1258222969931416</v>
      </c>
      <c r="S95" s="130">
        <f>(S28-T28)/S28/S142</f>
        <v>1</v>
      </c>
      <c r="T95" s="111"/>
      <c r="U95" s="114"/>
      <c r="V95" s="108"/>
      <c r="W95" s="130">
        <f>(W28-X28)/W28/W142</f>
        <v>0.22444040724057143</v>
      </c>
      <c r="X95" s="130">
        <f>(X28-Y28)/X28/X142</f>
        <v>7.4758428692036791E-2</v>
      </c>
      <c r="Y95" s="130">
        <f>(Y28-Z28)/Y28/Y142</f>
        <v>0.17225068187362044</v>
      </c>
      <c r="Z95" s="130">
        <f>(Z28-AA28)/Z28/Z142</f>
        <v>1</v>
      </c>
      <c r="AA95" s="111"/>
      <c r="AB95" s="114"/>
      <c r="AC95" s="108"/>
      <c r="AD95" s="130">
        <f>(AD28-AE28)/AD28/AD142</f>
        <v>0.15953341247766889</v>
      </c>
      <c r="AE95" s="111"/>
      <c r="AF95" s="114"/>
      <c r="AG95" s="108"/>
      <c r="AH95" s="130">
        <f>(AH28-AI28)/AH28/AH142</f>
        <v>0.77034559323697738</v>
      </c>
      <c r="AI95" s="111"/>
      <c r="AJ95" s="114"/>
      <c r="AK95" s="108"/>
      <c r="AL95" s="130">
        <f>(AL28-AM28)/AL28/AL142</f>
        <v>0.31370475304073336</v>
      </c>
      <c r="AM95" s="111"/>
      <c r="AN95" s="111"/>
      <c r="AO95" s="111"/>
      <c r="AP95" s="114"/>
      <c r="AQ95" s="108"/>
      <c r="AR95" s="130">
        <f>(AR28-AS28)/AR28/AR142</f>
        <v>0.25801782716638666</v>
      </c>
      <c r="AS95" s="130">
        <f>(AS28-AT28)/AS28/AS142</f>
        <v>0.21012315083121011</v>
      </c>
      <c r="AT95" s="130">
        <f>(AT28-AU28)/AT28/AT142</f>
        <v>0.2371542628568285</v>
      </c>
      <c r="AU95" s="130">
        <f>(AU28-AV28)/AU28/AU142</f>
        <v>1</v>
      </c>
      <c r="AV95" s="111"/>
      <c r="AW95" s="114"/>
      <c r="AX95" s="108"/>
      <c r="AY95" s="130">
        <f>(AY28-AZ28)/AY28/AY142</f>
        <v>-5.146736749890495E-3</v>
      </c>
      <c r="AZ95" s="111"/>
      <c r="BA95" s="151"/>
      <c r="BB95" s="152"/>
      <c r="BC95" s="130">
        <f>(BC28-BD28)/BC28/BC142</f>
        <v>-0.22960134070693464</v>
      </c>
      <c r="BD95" s="108"/>
      <c r="BE95" s="151"/>
      <c r="BF95" s="152"/>
      <c r="BG95" s="130">
        <f>(BG28-BH28)/BG28/BG142</f>
        <v>0.16942732874229793</v>
      </c>
      <c r="BH95" s="130">
        <f>(BH28-BI28)/BH28/BH142</f>
        <v>-5.9526147305161509E-2</v>
      </c>
      <c r="BI95" s="130">
        <f>(BI28-BJ28)/BI28/BI142</f>
        <v>0.54799808840536779</v>
      </c>
      <c r="BJ95" s="130">
        <f>(BJ28-BK28)/BJ28/BJ142</f>
        <v>12.5</v>
      </c>
      <c r="BK95" s="108"/>
      <c r="BL95" s="151"/>
      <c r="BM95" s="152"/>
      <c r="BN95" s="130">
        <f>(BN28-BO28)/BN28/BN142</f>
        <v>4.9676377317875046E-2</v>
      </c>
      <c r="BO95" s="130">
        <f>(BO28-BP28)/BO28/BO142</f>
        <v>0.36809396765410796</v>
      </c>
      <c r="BP95" s="130">
        <f>(BP28-BQ28)/BP28/BP142</f>
        <v>0.39052277498275895</v>
      </c>
      <c r="BQ95" s="130">
        <f>(BQ28-BR28)/BQ28/BQ142</f>
        <v>1</v>
      </c>
      <c r="BR95" s="108"/>
      <c r="BS95" s="114"/>
      <c r="BT95" s="130"/>
      <c r="BU95" s="130">
        <f>(BU28-BV28)/BU28/BU142</f>
        <v>0.28834825847036888</v>
      </c>
      <c r="BV95" s="108"/>
      <c r="BY95" s="130" t="e">
        <f>(BY28-BZ28)/BY28/BY142</f>
        <v>#DIV/0!</v>
      </c>
      <c r="BZ95" s="111"/>
      <c r="CA95" s="154"/>
      <c r="CB95" s="131"/>
      <c r="CC95" s="130">
        <f>(CC28-CD28)/CC28/CC142</f>
        <v>0.68698232385952696</v>
      </c>
      <c r="CD95" s="130">
        <f>(CD28-CE28)/CD28/CD142</f>
        <v>1.1097511868655239</v>
      </c>
      <c r="CE95" s="130">
        <f>(CE28-CF28)/CE28/CE142</f>
        <v>1</v>
      </c>
      <c r="CF95" s="111"/>
      <c r="CG95" s="114"/>
      <c r="CH95" s="108"/>
      <c r="CI95" s="130">
        <f>(CI28-CJ28)/CI28/CI142</f>
        <v>-0.11055837239707898</v>
      </c>
      <c r="CJ95" s="111"/>
      <c r="CK95" s="114"/>
      <c r="CL95" s="108"/>
      <c r="CM95" s="130">
        <f>(CM28-CN28)/CM28/CM142</f>
        <v>9.612085406775514E-2</v>
      </c>
      <c r="CN95" s="111"/>
      <c r="CO95" s="111"/>
      <c r="CP95" s="111"/>
      <c r="CQ95" s="111"/>
      <c r="CR95" s="114"/>
      <c r="CS95" s="108"/>
      <c r="CT95" s="130">
        <f>(CT28-CU28)/CT28/CT142</f>
        <v>-0.1828019111825232</v>
      </c>
      <c r="CU95" s="111"/>
      <c r="CV95" s="114"/>
      <c r="CW95" s="108"/>
      <c r="CX95" s="130">
        <f>(CX28-CY28)/CX28/CX142</f>
        <v>0.64383216353161565</v>
      </c>
      <c r="CY95" s="111"/>
      <c r="CZ95" s="111"/>
      <c r="DA95" s="111"/>
      <c r="DB95" s="114"/>
      <c r="DC95" s="108"/>
      <c r="DD95" s="130">
        <f>(DD28-DE28)/DD28/DD142</f>
        <v>4.2807860354598826E-2</v>
      </c>
      <c r="DE95" s="111"/>
      <c r="DF95" s="114"/>
      <c r="DG95" s="108"/>
      <c r="DH95" s="130">
        <f>(DH28-DI28)/DH28/DH142</f>
        <v>0.19904234175798011</v>
      </c>
      <c r="DI95" s="111"/>
      <c r="DJ95" s="111"/>
      <c r="DK95" s="111"/>
      <c r="DL95" s="111"/>
      <c r="DO95" s="130">
        <f>(DO28-DP28)/DO28/DO142</f>
        <v>0.21719586277590597</v>
      </c>
      <c r="DP95" s="111"/>
      <c r="DQ95" s="111"/>
      <c r="DR95" s="111"/>
      <c r="DS95" s="111"/>
      <c r="DT95" s="114"/>
      <c r="DU95" s="108"/>
      <c r="DV95" s="130">
        <f>(DV28-DW28)/DV28/DV142</f>
        <v>-4.3852333752124356E-2</v>
      </c>
      <c r="DW95" s="111"/>
      <c r="DX95" s="114"/>
      <c r="DY95" s="108"/>
      <c r="DZ95" s="130">
        <f>(DZ28-EA28)/DZ28/DZ142</f>
        <v>0.14469542695782681</v>
      </c>
      <c r="EA95" s="111"/>
      <c r="ED95" s="130">
        <f>(ED28-EE28)/ED28/ED142</f>
        <v>0.15373518657347909</v>
      </c>
      <c r="EE95" s="111"/>
      <c r="EH95" s="130">
        <f>(EH28-EI28)/EH28/EH142</f>
        <v>0.24854145405364705</v>
      </c>
      <c r="EI95" s="111"/>
      <c r="EL95" s="130">
        <f>(EL28-EM28)/EL28/EL142</f>
        <v>5.7035086831046529E-2</v>
      </c>
      <c r="EM95" s="111"/>
      <c r="EP95" s="130">
        <f>(EP28-EQ28)/EP28/EP142</f>
        <v>0.29321254568807631</v>
      </c>
      <c r="EQ95" s="111"/>
      <c r="ET95" s="130">
        <f>(ET28-EU28)/ET28/ET142</f>
        <v>0.23108646427209387</v>
      </c>
      <c r="EU95" s="111"/>
      <c r="EX95" s="130">
        <f>(EX28-EY28)/EX28/EX142</f>
        <v>1</v>
      </c>
      <c r="EY95" s="130"/>
      <c r="FB95" s="130">
        <f>(FB28-FC28)/FB28/FB142</f>
        <v>0.14126579926061808</v>
      </c>
      <c r="FC95" s="111"/>
      <c r="FF95" s="130">
        <f>(FF28-FG28)/FF28/FF142</f>
        <v>2.8857805428550411E-2</v>
      </c>
      <c r="FG95" s="111"/>
      <c r="FJ95" s="130">
        <f>(FJ28-FK28)/FJ28/FJ142</f>
        <v>0.3979839271165303</v>
      </c>
      <c r="FK95" s="111"/>
      <c r="FN95" s="130">
        <f>(FN28-FO28)/FN28/FN142</f>
        <v>0.13360279496231048</v>
      </c>
      <c r="FO95" s="111"/>
      <c r="FR95" s="130">
        <f>(FR28-FS28)/FR28/FR142</f>
        <v>8.6776728800596725E-2</v>
      </c>
      <c r="FS95" s="111"/>
      <c r="FV95" s="130">
        <f>(FV28-FW28)/FV28/FV142</f>
        <v>0.15152602652017536</v>
      </c>
      <c r="FW95" s="111"/>
      <c r="FZ95" s="130">
        <f>(FZ28-GA28)/FZ28/FZ142</f>
        <v>2.9115083220904142E-2</v>
      </c>
      <c r="GA95" s="111"/>
      <c r="GD95" s="130">
        <f>(GD28-GE28)/GD28/GD142</f>
        <v>0.82789189797962326</v>
      </c>
      <c r="GE95" s="111"/>
      <c r="GH95" s="130">
        <f>(GH28-GI28)/GH28/GH142</f>
        <v>-0.37851584360990603</v>
      </c>
      <c r="GI95" s="111"/>
      <c r="GL95" s="130">
        <f>(GL28-GM28)/GL28/GL142</f>
        <v>0.78951386328151107</v>
      </c>
      <c r="GM95" s="111"/>
      <c r="GP95" s="130">
        <f>(GP28-GQ28)/GP28/GP142</f>
        <v>0.21086839464572446</v>
      </c>
      <c r="GQ95" s="111"/>
      <c r="GT95" s="130">
        <f>(GT28-GU28)/GT28/GT142</f>
        <v>2.3809523809523809</v>
      </c>
      <c r="GU95" s="111"/>
      <c r="GX95" s="130">
        <f>(GX28-GY28)/GX28/GX142</f>
        <v>0.17224996233594436</v>
      </c>
      <c r="GY95" s="111"/>
      <c r="HB95" s="130">
        <f>(HB28-HC28)/HB28/HB142</f>
        <v>1</v>
      </c>
      <c r="HC95" s="111"/>
      <c r="HF95" s="130">
        <f>(HF28-HG28)/HF28/HF142</f>
        <v>0.46190809717206621</v>
      </c>
      <c r="HG95" s="130">
        <f>(HG28-HH28)/HG28/HG142</f>
        <v>8.4025611570170758E-3</v>
      </c>
      <c r="HH95" s="111"/>
    </row>
    <row r="96" spans="1:256" x14ac:dyDescent="0.2">
      <c r="B96" s="149" t="s">
        <v>279</v>
      </c>
      <c r="C96" s="117"/>
      <c r="D96" s="118"/>
      <c r="E96" s="130">
        <f>E36/E37</f>
        <v>7.7118020832187162E-2</v>
      </c>
      <c r="F96" s="130">
        <f>F36/F37</f>
        <v>8.8408720467495039E-2</v>
      </c>
      <c r="G96" s="130">
        <f>G36/G37</f>
        <v>9.7996707512170003E-2</v>
      </c>
      <c r="H96" s="130">
        <f>H36/H37</f>
        <v>9.3791330747342555E-2</v>
      </c>
      <c r="I96" s="130"/>
      <c r="J96" s="130" t="e">
        <f>J36/J37</f>
        <v>#DIV/0!</v>
      </c>
      <c r="K96" s="131"/>
      <c r="L96" s="130">
        <f>L36/L37</f>
        <v>0.91620482929621072</v>
      </c>
      <c r="M96" s="130">
        <f>M36/M37</f>
        <v>0.47197526091998454</v>
      </c>
      <c r="N96" s="130"/>
      <c r="O96" s="131"/>
      <c r="P96" s="130">
        <f>P36/P37</f>
        <v>0.17917067765593342</v>
      </c>
      <c r="Q96" s="130">
        <f>Q36/Q37</f>
        <v>0.19141227102119598</v>
      </c>
      <c r="R96" s="130">
        <f>R36/R37</f>
        <v>0.19714643069393648</v>
      </c>
      <c r="S96" s="130">
        <f>S36/S37</f>
        <v>0.17082884249836933</v>
      </c>
      <c r="T96" s="130"/>
      <c r="U96" s="130"/>
      <c r="V96" s="131"/>
      <c r="W96" s="130">
        <f>W36/W37</f>
        <v>0.11091157891760041</v>
      </c>
      <c r="X96" s="130">
        <f>X36/X37</f>
        <v>0.11210703200975475</v>
      </c>
      <c r="Y96" s="130">
        <f>Y36/Y37</f>
        <v>0.12683293328918299</v>
      </c>
      <c r="Z96" s="130">
        <f>Z36/Z37</f>
        <v>0.13432555213043587</v>
      </c>
      <c r="AA96" s="130"/>
      <c r="AB96" s="130"/>
      <c r="AC96" s="131"/>
      <c r="AD96" s="130">
        <f>AD36/AD37</f>
        <v>0.11865820113881401</v>
      </c>
      <c r="AE96" s="130">
        <f>AE36/AE37</f>
        <v>3.5920363437829818E-2</v>
      </c>
      <c r="AF96" s="130"/>
      <c r="AG96" s="131"/>
      <c r="AH96" s="130">
        <f>AH36/AH37</f>
        <v>7.6003069912316007E-2</v>
      </c>
      <c r="AI96" s="130">
        <f>AI36/AI37</f>
        <v>8.9839276838699758E-2</v>
      </c>
      <c r="AJ96" s="130"/>
      <c r="AK96" s="131"/>
      <c r="AL96" s="130">
        <f>AL36/AL37</f>
        <v>0.20963120036275992</v>
      </c>
      <c r="AM96" s="130">
        <f>AM36/AM37</f>
        <v>0.1544669282031636</v>
      </c>
      <c r="AN96" s="130"/>
      <c r="AO96" s="130"/>
      <c r="AP96" s="130"/>
      <c r="AQ96" s="131"/>
      <c r="AR96" s="130">
        <f>AR36/AR37</f>
        <v>0.16294936535105128</v>
      </c>
      <c r="AS96" s="130">
        <f>AS36/AS37</f>
        <v>0.15694475781389175</v>
      </c>
      <c r="AT96" s="130">
        <f>AT36/AT37</f>
        <v>0.13695821880777737</v>
      </c>
      <c r="AU96" s="130">
        <f>AU36/AU37</f>
        <v>0.16467183063385649</v>
      </c>
      <c r="AV96" s="130"/>
      <c r="AW96" s="130" t="e">
        <f>AW36/AW37</f>
        <v>#DIV/0!</v>
      </c>
      <c r="AX96" s="131"/>
      <c r="AY96" s="130">
        <f>AY36/AY37</f>
        <v>5.8190668672168638E-3</v>
      </c>
      <c r="AZ96" s="130">
        <f>AZ36/AZ37</f>
        <v>5.4736579097658484E-3</v>
      </c>
      <c r="BA96" s="130" t="e">
        <f>BA36/BA37</f>
        <v>#DIV/0!</v>
      </c>
      <c r="BB96" s="131"/>
      <c r="BC96" s="130" t="e">
        <f>BC36/BC37</f>
        <v>#DIV/0!</v>
      </c>
      <c r="BD96" s="130"/>
      <c r="BE96" s="130"/>
      <c r="BF96" s="131"/>
      <c r="BG96" s="130">
        <f>BG36/BG37</f>
        <v>0.12891021729858138</v>
      </c>
      <c r="BH96" s="130">
        <f>BH36/BH37</f>
        <v>0.10856906618200539</v>
      </c>
      <c r="BI96" s="130">
        <f>BI36/BI37</f>
        <v>4.2849364938769209E-2</v>
      </c>
      <c r="BJ96" s="130">
        <f>BJ36/BJ37</f>
        <v>7.0620467033673098E-2</v>
      </c>
      <c r="BK96" s="130"/>
      <c r="BL96" s="130" t="e">
        <f>BL36/BL37</f>
        <v>#DIV/0!</v>
      </c>
      <c r="BM96" s="131"/>
      <c r="BN96" s="130">
        <f>BN36/BN37</f>
        <v>0.30223900656238256</v>
      </c>
      <c r="BO96" s="130">
        <f>BO36/BO37</f>
        <v>0.3232704957193776</v>
      </c>
      <c r="BP96" s="130">
        <f>BP36/BP37</f>
        <v>0.43266323409192797</v>
      </c>
      <c r="BQ96" s="130">
        <f>BQ36/BQ37</f>
        <v>0.61488894982177134</v>
      </c>
      <c r="BR96" s="130"/>
      <c r="BS96" s="130" t="e">
        <f t="shared" ref="BS96:BZ96" si="25">BS36/BS37</f>
        <v>#DIV/0!</v>
      </c>
      <c r="BT96" s="130"/>
      <c r="BU96" s="130">
        <f t="shared" si="25"/>
        <v>0.19712567761458896</v>
      </c>
      <c r="BV96" s="130">
        <f t="shared" si="25"/>
        <v>7.4839383153342112E-2</v>
      </c>
      <c r="BW96" s="130" t="e">
        <f t="shared" si="25"/>
        <v>#DIV/0!</v>
      </c>
      <c r="BX96" s="131"/>
      <c r="BY96" s="130">
        <f t="shared" si="25"/>
        <v>0.26678065994833922</v>
      </c>
      <c r="BZ96" s="130">
        <f t="shared" si="25"/>
        <v>0.23834834776151487</v>
      </c>
      <c r="CA96" s="130"/>
      <c r="CB96" s="131"/>
      <c r="CC96" s="130">
        <f>CC36/CC37</f>
        <v>5.0234566404446297E-2</v>
      </c>
      <c r="CD96" s="130">
        <f>CD36/CD37</f>
        <v>5.1445936547800393E-2</v>
      </c>
      <c r="CE96" s="130">
        <f>CE36/CE37</f>
        <v>5.2194302125877688E-2</v>
      </c>
      <c r="CF96" s="130"/>
      <c r="CG96" s="130" t="e">
        <f t="shared" ref="CG96:CN96" si="26">CG36/CG37</f>
        <v>#DIV/0!</v>
      </c>
      <c r="CH96" s="131"/>
      <c r="CI96" s="130">
        <f t="shared" si="26"/>
        <v>0.7246906217384822</v>
      </c>
      <c r="CJ96" s="130">
        <f t="shared" si="26"/>
        <v>0.66531984902738794</v>
      </c>
      <c r="CK96" s="130" t="e">
        <f t="shared" si="26"/>
        <v>#DIV/0!</v>
      </c>
      <c r="CL96" s="131"/>
      <c r="CM96" s="130">
        <f t="shared" si="26"/>
        <v>0.34182820309485923</v>
      </c>
      <c r="CN96" s="130">
        <f t="shared" si="26"/>
        <v>0.32791503937263594</v>
      </c>
      <c r="CO96" s="130"/>
      <c r="CP96" s="130"/>
      <c r="CQ96" s="130"/>
      <c r="CR96" s="130" t="e">
        <f t="shared" ref="CR96:CY96" si="27">CR36/CR37</f>
        <v>#DIV/0!</v>
      </c>
      <c r="CS96" s="131"/>
      <c r="CT96" s="130">
        <f t="shared" si="27"/>
        <v>0.20194086685136925</v>
      </c>
      <c r="CU96" s="130">
        <f t="shared" si="27"/>
        <v>-7.4579708146579257E-3</v>
      </c>
      <c r="CV96" s="130" t="e">
        <f t="shared" si="27"/>
        <v>#DIV/0!</v>
      </c>
      <c r="CW96" s="131"/>
      <c r="CX96" s="130">
        <f t="shared" si="27"/>
        <v>0.14242439763223558</v>
      </c>
      <c r="CY96" s="130">
        <f t="shared" si="27"/>
        <v>0.28113563500812006</v>
      </c>
      <c r="CZ96" s="130"/>
      <c r="DA96" s="130"/>
      <c r="DB96" s="130" t="e">
        <f t="shared" ref="DB96:DI96" si="28">DB36/DB37</f>
        <v>#DIV/0!</v>
      </c>
      <c r="DC96" s="131"/>
      <c r="DD96" s="130">
        <f t="shared" si="28"/>
        <v>2.4745418135034142E-2</v>
      </c>
      <c r="DE96" s="130">
        <f t="shared" si="28"/>
        <v>2.7340897024612489E-2</v>
      </c>
      <c r="DF96" s="130" t="e">
        <f t="shared" si="28"/>
        <v>#DIV/0!</v>
      </c>
      <c r="DG96" s="131"/>
      <c r="DH96" s="130">
        <f t="shared" si="28"/>
        <v>0.12898512137537191</v>
      </c>
      <c r="DI96" s="130">
        <f t="shared" si="28"/>
        <v>0.10667824202369836</v>
      </c>
      <c r="DJ96" s="130"/>
      <c r="DK96" s="130"/>
      <c r="DL96" s="130"/>
      <c r="DM96" s="130" t="e">
        <f>DM36/DM37</f>
        <v>#DIV/0!</v>
      </c>
      <c r="DN96" s="131"/>
      <c r="DO96" s="130">
        <f>DO36/DO37</f>
        <v>7.1473374714145707E-2</v>
      </c>
      <c r="DP96" s="130">
        <f>DP36/DP37</f>
        <v>6.2042577803483635E-2</v>
      </c>
      <c r="DQ96" s="130"/>
      <c r="DR96" s="130"/>
      <c r="DS96" s="130"/>
      <c r="DT96" s="130" t="e">
        <f t="shared" ref="DT96:GE96" si="29">DT36/DT37</f>
        <v>#DIV/0!</v>
      </c>
      <c r="DU96" s="131"/>
      <c r="DV96" s="130">
        <f t="shared" si="29"/>
        <v>7.8087506762025985E-2</v>
      </c>
      <c r="DW96" s="130">
        <f t="shared" si="29"/>
        <v>0.10161784070909848</v>
      </c>
      <c r="DX96" s="130" t="e">
        <f t="shared" si="29"/>
        <v>#DIV/0!</v>
      </c>
      <c r="DY96" s="131"/>
      <c r="DZ96" s="130">
        <f t="shared" si="29"/>
        <v>6.6340304003636122E-2</v>
      </c>
      <c r="EA96" s="130">
        <f t="shared" si="29"/>
        <v>7.3235531540127602E-2</v>
      </c>
      <c r="EB96" s="130" t="e">
        <f t="shared" si="29"/>
        <v>#DIV/0!</v>
      </c>
      <c r="EC96" s="131"/>
      <c r="ED96" s="130">
        <f t="shared" si="29"/>
        <v>0.36263947949791187</v>
      </c>
      <c r="EE96" s="130">
        <f t="shared" si="29"/>
        <v>0.38654308628634482</v>
      </c>
      <c r="EF96" s="130" t="e">
        <f t="shared" si="29"/>
        <v>#DIV/0!</v>
      </c>
      <c r="EG96" s="131"/>
      <c r="EH96" s="130">
        <f t="shared" si="29"/>
        <v>0.14530326856436099</v>
      </c>
      <c r="EI96" s="130">
        <f t="shared" si="29"/>
        <v>0.15892311871965059</v>
      </c>
      <c r="EJ96" s="130" t="e">
        <f t="shared" si="29"/>
        <v>#DIV/0!</v>
      </c>
      <c r="EK96" s="131"/>
      <c r="EL96" s="130">
        <f t="shared" si="29"/>
        <v>0.24705364026875207</v>
      </c>
      <c r="EM96" s="130">
        <f t="shared" si="29"/>
        <v>0.30285094850948507</v>
      </c>
      <c r="EN96" s="130" t="e">
        <f t="shared" si="29"/>
        <v>#DIV/0!</v>
      </c>
      <c r="EO96" s="131"/>
      <c r="EP96" s="130">
        <f t="shared" si="29"/>
        <v>7.1980715580732699E-2</v>
      </c>
      <c r="EQ96" s="130">
        <f t="shared" si="29"/>
        <v>7.5152097323218203E-2</v>
      </c>
      <c r="ER96" s="130" t="e">
        <f t="shared" si="29"/>
        <v>#DIV/0!</v>
      </c>
      <c r="ES96" s="131"/>
      <c r="ET96" s="130">
        <f t="shared" si="29"/>
        <v>0.1380007064027354</v>
      </c>
      <c r="EU96" s="130">
        <f t="shared" si="29"/>
        <v>0.17189548573188232</v>
      </c>
      <c r="EV96" s="130" t="e">
        <f t="shared" si="29"/>
        <v>#DIV/0!</v>
      </c>
      <c r="EW96" s="131"/>
      <c r="EX96" s="130">
        <f t="shared" si="29"/>
        <v>0.50123531587105496</v>
      </c>
      <c r="EY96" s="130" t="e">
        <f t="shared" si="29"/>
        <v>#DIV/0!</v>
      </c>
      <c r="EZ96" s="130" t="e">
        <f t="shared" si="29"/>
        <v>#DIV/0!</v>
      </c>
      <c r="FA96" s="131"/>
      <c r="FB96" s="130">
        <f t="shared" si="29"/>
        <v>0.39726338512120024</v>
      </c>
      <c r="FC96" s="130">
        <f t="shared" si="29"/>
        <v>0.48532740041135158</v>
      </c>
      <c r="FD96" s="130" t="e">
        <f t="shared" si="29"/>
        <v>#DIV/0!</v>
      </c>
      <c r="FE96" s="131"/>
      <c r="FF96" s="130">
        <f t="shared" si="29"/>
        <v>0.10030045952633439</v>
      </c>
      <c r="FG96" s="130">
        <f t="shared" si="29"/>
        <v>0.10012987792976082</v>
      </c>
      <c r="FH96" s="130" t="e">
        <f t="shared" si="29"/>
        <v>#DIV/0!</v>
      </c>
      <c r="FI96" s="131"/>
      <c r="FJ96" s="130">
        <f t="shared" si="29"/>
        <v>0.10399183738693857</v>
      </c>
      <c r="FK96" s="130">
        <f t="shared" si="29"/>
        <v>0.10203810994783759</v>
      </c>
      <c r="FL96" s="130" t="e">
        <f t="shared" si="29"/>
        <v>#DIV/0!</v>
      </c>
      <c r="FM96" s="131"/>
      <c r="FN96" s="130">
        <f t="shared" si="29"/>
        <v>2.6656690567587498E-2</v>
      </c>
      <c r="FO96" s="130">
        <f t="shared" si="29"/>
        <v>3.2364803495137429E-2</v>
      </c>
      <c r="FP96" s="130" t="e">
        <f t="shared" si="29"/>
        <v>#DIV/0!</v>
      </c>
      <c r="FQ96" s="131"/>
      <c r="FR96" s="130">
        <f t="shared" si="29"/>
        <v>4.6819041580810482E-2</v>
      </c>
      <c r="FS96" s="130">
        <f t="shared" si="29"/>
        <v>-2.1835813558968194E-2</v>
      </c>
      <c r="FT96" s="130" t="e">
        <f t="shared" si="29"/>
        <v>#DIV/0!</v>
      </c>
      <c r="FU96" s="131"/>
      <c r="FV96" s="130">
        <f t="shared" si="29"/>
        <v>0.16991360214200441</v>
      </c>
      <c r="FW96" s="130">
        <f t="shared" si="29"/>
        <v>2.5272214261818048E-2</v>
      </c>
      <c r="FX96" s="130" t="e">
        <f t="shared" si="29"/>
        <v>#DIV/0!</v>
      </c>
      <c r="FY96" s="131"/>
      <c r="FZ96" s="130">
        <f t="shared" si="29"/>
        <v>0.15127499883455317</v>
      </c>
      <c r="GA96" s="130">
        <f t="shared" si="29"/>
        <v>0.12733797050202392</v>
      </c>
      <c r="GB96" s="130" t="e">
        <f t="shared" si="29"/>
        <v>#DIV/0!</v>
      </c>
      <c r="GC96" s="131"/>
      <c r="GD96" s="130">
        <f t="shared" si="29"/>
        <v>0.11557118921376046</v>
      </c>
      <c r="GE96" s="130">
        <f t="shared" si="29"/>
        <v>4.9875202187733336E-2</v>
      </c>
      <c r="GF96" s="130" t="e">
        <f t="shared" ref="GF96:GZ96" si="30">GF36/GF37</f>
        <v>#DIV/0!</v>
      </c>
      <c r="GG96" s="131"/>
      <c r="GH96" s="130">
        <f t="shared" si="30"/>
        <v>6.1717811764770342E-2</v>
      </c>
      <c r="GI96" s="130">
        <f t="shared" si="30"/>
        <v>7.5033297968509258E-2</v>
      </c>
      <c r="GJ96" s="130" t="e">
        <f t="shared" si="30"/>
        <v>#DIV/0!</v>
      </c>
      <c r="GK96" s="131"/>
      <c r="GL96" s="130">
        <f t="shared" si="30"/>
        <v>0.15973080514837643</v>
      </c>
      <c r="GM96" s="130">
        <f t="shared" si="30"/>
        <v>0.61924951531318784</v>
      </c>
      <c r="GN96" s="130" t="e">
        <f t="shared" si="30"/>
        <v>#DIV/0!</v>
      </c>
      <c r="GO96" s="131"/>
      <c r="GP96" s="130">
        <f t="shared" si="30"/>
        <v>-1.6200721376910022E-2</v>
      </c>
      <c r="GQ96" s="130">
        <f t="shared" si="30"/>
        <v>1.3477965865794464E-2</v>
      </c>
      <c r="GR96" s="130" t="e">
        <f t="shared" si="30"/>
        <v>#DIV/0!</v>
      </c>
      <c r="GS96" s="131"/>
      <c r="GT96" s="130">
        <f t="shared" si="30"/>
        <v>3.3112308672941452E-5</v>
      </c>
      <c r="GU96" s="130" t="e">
        <f t="shared" si="30"/>
        <v>#DIV/0!</v>
      </c>
      <c r="GV96" s="130" t="e">
        <f t="shared" si="30"/>
        <v>#DIV/0!</v>
      </c>
      <c r="GW96" s="131"/>
      <c r="GX96" s="130">
        <f t="shared" si="30"/>
        <v>0.12642224521379661</v>
      </c>
      <c r="GY96" s="130">
        <f t="shared" si="30"/>
        <v>0.11383116448057577</v>
      </c>
      <c r="GZ96" s="130" t="e">
        <f t="shared" si="30"/>
        <v>#DIV/0!</v>
      </c>
      <c r="HA96" s="131"/>
      <c r="HB96" s="130">
        <f>HB36/HB37</f>
        <v>4.576710164139713E-4</v>
      </c>
      <c r="HC96" s="130" t="e">
        <f>HC36/HC37</f>
        <v>#DIV/0!</v>
      </c>
      <c r="HD96" s="130" t="e">
        <f>HD36/HD37</f>
        <v>#DIV/0!</v>
      </c>
      <c r="HE96" s="131"/>
      <c r="HF96" s="130">
        <f>HF36/HF37</f>
        <v>1.7800842029866476E-3</v>
      </c>
      <c r="HG96" s="130">
        <f>HG36/HG37</f>
        <v>1.3676859047229775E-3</v>
      </c>
      <c r="HH96" s="130">
        <f>HH36/HH37</f>
        <v>3.0820836423638403E-4</v>
      </c>
    </row>
    <row r="97" spans="1:256" x14ac:dyDescent="0.2">
      <c r="B97" s="157" t="s">
        <v>280</v>
      </c>
      <c r="C97" s="117"/>
      <c r="D97" s="118"/>
      <c r="E97" s="130">
        <f>E28/E30</f>
        <v>0.81594200954689877</v>
      </c>
      <c r="F97" s="130">
        <f>F28/F30</f>
        <v>0.77639025001266637</v>
      </c>
      <c r="G97" s="130">
        <f>G28/G30</f>
        <v>0.72589368549887789</v>
      </c>
      <c r="H97" s="130">
        <f>H28/H30</f>
        <v>0.71884390527834996</v>
      </c>
      <c r="I97" s="130"/>
      <c r="J97" s="114"/>
      <c r="K97" s="108"/>
      <c r="L97" s="130">
        <f>L28/L30</f>
        <v>0.77780839404663116</v>
      </c>
      <c r="M97" s="150"/>
      <c r="N97" s="117"/>
      <c r="O97" s="118"/>
      <c r="P97" s="130">
        <f>P28/P30</f>
        <v>0.98771981581101698</v>
      </c>
      <c r="Q97" s="130">
        <f>Q28/Q30</f>
        <v>0.97853792483443325</v>
      </c>
      <c r="R97" s="130">
        <f>R28/R30</f>
        <v>0.87068409281932768</v>
      </c>
      <c r="S97" s="130">
        <f>S28/S30</f>
        <v>0.87856191621546986</v>
      </c>
      <c r="T97" s="150"/>
      <c r="U97" s="114"/>
      <c r="V97" s="108"/>
      <c r="W97" s="130">
        <f>W28/W30</f>
        <v>0.93905129651834496</v>
      </c>
      <c r="X97" s="130">
        <f>X28/X30</f>
        <v>0.88771038378095479</v>
      </c>
      <c r="Y97" s="130">
        <f>Y28/Y30</f>
        <v>0.91406801983703856</v>
      </c>
      <c r="Z97" s="130">
        <f>Z28/Z30</f>
        <v>0.83194184749570377</v>
      </c>
      <c r="AA97" s="150"/>
      <c r="AB97" s="114"/>
      <c r="AC97" s="108"/>
      <c r="AD97" s="130">
        <f>AD28/AD30</f>
        <v>0.89442517343091277</v>
      </c>
      <c r="AE97" s="150"/>
      <c r="AF97" s="114"/>
      <c r="AG97" s="108"/>
      <c r="AH97" s="130">
        <f>AH28/AH30</f>
        <v>0.76865136978448456</v>
      </c>
      <c r="AI97" s="150"/>
      <c r="AJ97" s="114"/>
      <c r="AK97" s="108"/>
      <c r="AL97" s="130">
        <f>AL28/AL30</f>
        <v>0.86689201752016787</v>
      </c>
      <c r="AM97" s="150"/>
      <c r="AN97" s="150"/>
      <c r="AO97" s="150"/>
      <c r="AP97" s="114"/>
      <c r="AQ97" s="108"/>
      <c r="AR97" s="130">
        <f>AR28/AR30</f>
        <v>0.98333249297203218</v>
      </c>
      <c r="AS97" s="130">
        <f>AS28/AS30</f>
        <v>0.97793689766257397</v>
      </c>
      <c r="AT97" s="130">
        <f>AT28/AT30</f>
        <v>0.92488346101779495</v>
      </c>
      <c r="AU97" s="130">
        <f>AU28/AU30</f>
        <v>0.98068204067671638</v>
      </c>
      <c r="AV97" s="150"/>
      <c r="AW97" s="114"/>
      <c r="AX97" s="108"/>
      <c r="AY97" s="130">
        <f>AY28/AY30</f>
        <v>0.99985281817300686</v>
      </c>
      <c r="AZ97" s="150"/>
      <c r="BA97" s="151"/>
      <c r="BB97" s="152"/>
      <c r="BC97" s="130">
        <f>BC28/BC30</f>
        <v>0.76104542193286806</v>
      </c>
      <c r="BD97" s="153"/>
      <c r="BE97" s="151"/>
      <c r="BF97" s="152"/>
      <c r="BG97" s="130">
        <f>BG28/BG30</f>
        <v>0.73878839926629936</v>
      </c>
      <c r="BH97" s="130">
        <f>BH28/BH30</f>
        <v>0.62562061474498731</v>
      </c>
      <c r="BI97" s="130">
        <f>BI28/BI30</f>
        <v>0.92073449862802936</v>
      </c>
      <c r="BJ97" s="130">
        <f>BJ28/BJ30</f>
        <v>0.71314386754871573</v>
      </c>
      <c r="BK97" s="153"/>
      <c r="BL97" s="151"/>
      <c r="BM97" s="152"/>
      <c r="BN97" s="130">
        <f>BN28/BN30</f>
        <v>0.90368945644647825</v>
      </c>
      <c r="BO97" s="130">
        <f>BO28/BO30</f>
        <v>0.95403723687894759</v>
      </c>
      <c r="BP97" s="130">
        <f>BP28/BP30</f>
        <v>0.97430658474196352</v>
      </c>
      <c r="BQ97" s="130">
        <f>BQ28/BQ30</f>
        <v>0.97619506421976576</v>
      </c>
      <c r="BR97" s="153"/>
      <c r="BS97" s="114"/>
      <c r="BT97" s="130"/>
      <c r="BU97" s="130">
        <f>BU28/BU30</f>
        <v>0.95634632252079466</v>
      </c>
      <c r="BV97" s="153"/>
      <c r="BY97" s="130">
        <f>BY28/BY30</f>
        <v>0</v>
      </c>
      <c r="BZ97" s="150"/>
      <c r="CA97" s="154"/>
      <c r="CB97" s="131"/>
      <c r="CC97" s="130">
        <f>CC28/CC30</f>
        <v>0.88719020426092843</v>
      </c>
      <c r="CD97" s="130">
        <f>CD28/CD30</f>
        <v>0.91494086803027275</v>
      </c>
      <c r="CE97" s="130">
        <f>CE28/CE30</f>
        <v>0.76620245309002699</v>
      </c>
      <c r="CF97" s="150"/>
      <c r="CG97" s="114"/>
      <c r="CH97" s="108"/>
      <c r="CI97" s="130">
        <f>CI28/CI30</f>
        <v>0.77926047413150434</v>
      </c>
      <c r="CJ97" s="150"/>
      <c r="CK97" s="114"/>
      <c r="CL97" s="108"/>
      <c r="CM97" s="130">
        <f>CM28/CM30</f>
        <v>0.98718004334630716</v>
      </c>
      <c r="CN97" s="150"/>
      <c r="CO97" s="150"/>
      <c r="CP97" s="150"/>
      <c r="CQ97" s="150"/>
      <c r="CR97" s="114"/>
      <c r="CS97" s="108"/>
      <c r="CT97" s="130">
        <f>CT28/CT30</f>
        <v>0.88584040130597708</v>
      </c>
      <c r="CU97" s="150"/>
      <c r="CV97" s="114"/>
      <c r="CW97" s="108"/>
      <c r="CX97" s="130">
        <f>CX28/CX30</f>
        <v>0.97270418874748354</v>
      </c>
      <c r="CY97" s="150"/>
      <c r="CZ97" s="150"/>
      <c r="DA97" s="150"/>
      <c r="DB97" s="114"/>
      <c r="DC97" s="108"/>
      <c r="DD97" s="130">
        <f>DD28/DD30</f>
        <v>0.97150270831913532</v>
      </c>
      <c r="DE97" s="150"/>
      <c r="DF97" s="114"/>
      <c r="DG97" s="108"/>
      <c r="DH97" s="130">
        <f>DH28/DH30</f>
        <v>0.98460033490017829</v>
      </c>
      <c r="DI97" s="150"/>
      <c r="DJ97" s="150"/>
      <c r="DK97" s="150"/>
      <c r="DL97" s="150"/>
      <c r="DO97" s="130">
        <f>DO28/DO30</f>
        <v>0.77763475988239139</v>
      </c>
      <c r="DP97" s="150"/>
      <c r="DQ97" s="150"/>
      <c r="DR97" s="150"/>
      <c r="DS97" s="150"/>
      <c r="DT97" s="114"/>
      <c r="DU97" s="108"/>
      <c r="DV97" s="130">
        <f>DV28/DV30</f>
        <v>0.80329083505874632</v>
      </c>
      <c r="DW97" s="150"/>
      <c r="DX97" s="114"/>
      <c r="DY97" s="108"/>
      <c r="DZ97" s="130">
        <f>DZ28/DZ30</f>
        <v>0.72431232964751968</v>
      </c>
      <c r="EA97" s="150"/>
      <c r="ED97" s="130">
        <f>ED28/ED30</f>
        <v>0.77353898275269872</v>
      </c>
      <c r="EE97" s="150"/>
      <c r="EH97" s="130">
        <f>EH28/EH30</f>
        <v>0.98206319007562137</v>
      </c>
      <c r="EI97" s="150"/>
      <c r="EL97" s="130">
        <f>EL28/EL30</f>
        <v>0.72515328413555091</v>
      </c>
      <c r="EM97" s="150"/>
      <c r="EP97" s="130">
        <f>EP28/EP30</f>
        <v>0.63089408059728525</v>
      </c>
      <c r="EQ97" s="150"/>
      <c r="ET97" s="130">
        <f>ET28/ET30</f>
        <v>0.96541536442069931</v>
      </c>
      <c r="EU97" s="150"/>
      <c r="EX97" s="130">
        <f>EX28/EX30</f>
        <v>0.66125199656944122</v>
      </c>
      <c r="EY97" s="130"/>
      <c r="FB97" s="130">
        <f>FB28/FB30</f>
        <v>0.96714215890205291</v>
      </c>
      <c r="FC97" s="150"/>
      <c r="FF97" s="130">
        <f>FF28/FF30</f>
        <v>0.95109063862377752</v>
      </c>
      <c r="FG97" s="150"/>
      <c r="FJ97" s="130">
        <f>FJ28/FJ30</f>
        <v>0.99077824914342871</v>
      </c>
      <c r="FK97" s="150"/>
      <c r="FN97" s="130">
        <f>FN28/FN30</f>
        <v>0.99589768168724069</v>
      </c>
      <c r="FO97" s="150"/>
      <c r="FR97" s="130">
        <f>FR28/FR30</f>
        <v>0.86303013331924416</v>
      </c>
      <c r="FS97" s="150"/>
      <c r="FV97" s="130">
        <f>FV28/FV30</f>
        <v>0.96192749342700012</v>
      </c>
      <c r="FW97" s="150"/>
      <c r="FZ97" s="130">
        <f>FZ28/FZ30</f>
        <v>0.83360332851615304</v>
      </c>
      <c r="GA97" s="150"/>
      <c r="GD97" s="130">
        <f>GD28/GD30</f>
        <v>0.20399544446796603</v>
      </c>
      <c r="GE97" s="150"/>
      <c r="GH97" s="130">
        <f>GH28/GH30</f>
        <v>0.58290199526454234</v>
      </c>
      <c r="GI97" s="150"/>
      <c r="GL97" s="130">
        <f>GL28/GL30</f>
        <v>0.84895750880126053</v>
      </c>
      <c r="GM97" s="150"/>
      <c r="GP97" s="130">
        <f>GP28/GP30</f>
        <v>0.83293951676891997</v>
      </c>
      <c r="GQ97" s="150"/>
      <c r="GT97" s="130">
        <f>GT28/GT30</f>
        <v>0.98392397413928689</v>
      </c>
      <c r="GU97" s="150"/>
      <c r="GX97" s="130">
        <f>GX28/GX30</f>
        <v>0.88649503562015375</v>
      </c>
      <c r="GY97" s="150"/>
      <c r="HB97" s="130">
        <f>HB28/HB30</f>
        <v>0.96084837722871508</v>
      </c>
      <c r="HC97" s="150"/>
      <c r="HF97" s="130">
        <f>HF28/HF30</f>
        <v>0.99812125221352921</v>
      </c>
      <c r="HG97" s="130">
        <f>HG28/HG30</f>
        <v>0.99979380872783419</v>
      </c>
      <c r="HH97" s="150"/>
    </row>
    <row r="98" spans="1:256" s="85" customFormat="1" ht="14.25" customHeight="1" x14ac:dyDescent="0.2">
      <c r="A98" s="162"/>
      <c r="B98" s="163"/>
      <c r="C98" s="125"/>
      <c r="D98" s="126"/>
      <c r="E98" s="92"/>
      <c r="F98" s="92"/>
      <c r="G98" s="92"/>
      <c r="H98" s="92"/>
      <c r="I98" s="92"/>
      <c r="J98" s="91"/>
      <c r="K98" s="92"/>
      <c r="N98" s="125"/>
      <c r="O98" s="126"/>
      <c r="U98" s="91"/>
      <c r="V98" s="92"/>
      <c r="AB98" s="91"/>
      <c r="AC98" s="92"/>
      <c r="AF98" s="91"/>
      <c r="AG98" s="92"/>
      <c r="AJ98" s="91"/>
      <c r="AK98" s="92"/>
      <c r="AP98" s="91"/>
      <c r="AQ98" s="92"/>
      <c r="AW98" s="91"/>
      <c r="AX98" s="92"/>
      <c r="BA98" s="91"/>
      <c r="BB98" s="92"/>
      <c r="BC98" s="92"/>
      <c r="BD98" s="92"/>
      <c r="BE98" s="91"/>
      <c r="BF98" s="92"/>
      <c r="BG98" s="92"/>
      <c r="BH98" s="92"/>
      <c r="BI98" s="92"/>
      <c r="BJ98" s="92"/>
      <c r="BK98" s="92"/>
      <c r="BL98" s="91"/>
      <c r="BM98" s="92"/>
      <c r="BN98" s="92"/>
      <c r="BO98" s="92"/>
      <c r="BP98" s="92"/>
      <c r="BQ98" s="92"/>
      <c r="BR98" s="92"/>
      <c r="BS98" s="91"/>
      <c r="BT98" s="92"/>
      <c r="BU98" s="92"/>
      <c r="BV98" s="92"/>
      <c r="BW98" s="91"/>
      <c r="BX98" s="92"/>
      <c r="CA98" s="91"/>
      <c r="CB98" s="92"/>
      <c r="CG98" s="91"/>
      <c r="CH98" s="92"/>
      <c r="CK98" s="91"/>
      <c r="CL98" s="92"/>
      <c r="CR98" s="91"/>
      <c r="CS98" s="92"/>
      <c r="CV98" s="91"/>
      <c r="CW98" s="92"/>
      <c r="DB98" s="91"/>
      <c r="DC98" s="92"/>
      <c r="DF98" s="91"/>
      <c r="DG98" s="92"/>
      <c r="DM98" s="91"/>
      <c r="DN98" s="92"/>
      <c r="DT98" s="91"/>
      <c r="DU98" s="92"/>
      <c r="DX98" s="91"/>
      <c r="DY98" s="92"/>
      <c r="EB98" s="91"/>
      <c r="EC98" s="92"/>
      <c r="EF98" s="91"/>
      <c r="EG98" s="92"/>
      <c r="EJ98" s="91"/>
      <c r="EK98" s="92"/>
      <c r="EN98" s="91"/>
      <c r="EO98" s="92"/>
      <c r="ER98" s="91"/>
      <c r="ES98" s="92"/>
      <c r="EV98" s="91"/>
      <c r="EW98" s="92"/>
      <c r="EZ98" s="91"/>
      <c r="FA98" s="92"/>
      <c r="FD98" s="91"/>
      <c r="FE98" s="92"/>
      <c r="FH98" s="91"/>
      <c r="FI98" s="92"/>
      <c r="FL98" s="91"/>
      <c r="FM98" s="92"/>
      <c r="FP98" s="91"/>
      <c r="FQ98" s="92"/>
      <c r="FT98" s="91"/>
      <c r="FU98" s="92"/>
      <c r="FX98" s="91"/>
      <c r="FY98" s="92"/>
      <c r="GB98" s="91"/>
      <c r="GC98" s="92"/>
      <c r="GF98" s="91"/>
      <c r="GG98" s="92"/>
      <c r="GJ98" s="91"/>
      <c r="GK98" s="92"/>
      <c r="GN98" s="91"/>
      <c r="GO98" s="92"/>
      <c r="GR98" s="91"/>
      <c r="GS98" s="92"/>
      <c r="GV98" s="91"/>
      <c r="GW98" s="92"/>
      <c r="GZ98" s="91"/>
      <c r="HA98" s="92"/>
      <c r="HD98" s="91"/>
      <c r="HE98" s="9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85" customFormat="1" ht="14.25" customHeight="1" x14ac:dyDescent="0.2">
      <c r="A99" s="148" t="s">
        <v>281</v>
      </c>
      <c r="B99" s="148"/>
      <c r="C99" s="125"/>
      <c r="D99" s="126"/>
      <c r="E99" s="92"/>
      <c r="F99" s="92"/>
      <c r="G99" s="92"/>
      <c r="H99" s="92"/>
      <c r="I99" s="92"/>
      <c r="J99" s="91"/>
      <c r="K99" s="92"/>
      <c r="N99" s="125"/>
      <c r="O99" s="126"/>
      <c r="U99" s="91"/>
      <c r="V99" s="92"/>
      <c r="AB99" s="91"/>
      <c r="AC99" s="92"/>
      <c r="AF99" s="91"/>
      <c r="AG99" s="92"/>
      <c r="AJ99" s="91"/>
      <c r="AK99" s="92"/>
      <c r="AP99" s="91"/>
      <c r="AQ99" s="92"/>
      <c r="AW99" s="91"/>
      <c r="AX99" s="92"/>
      <c r="BA99" s="91"/>
      <c r="BB99" s="92"/>
      <c r="BC99" s="92"/>
      <c r="BD99" s="92"/>
      <c r="BE99" s="91"/>
      <c r="BF99" s="92"/>
      <c r="BG99" s="92"/>
      <c r="BH99" s="92"/>
      <c r="BI99" s="92"/>
      <c r="BJ99" s="92"/>
      <c r="BK99" s="92"/>
      <c r="BL99" s="91"/>
      <c r="BM99" s="92"/>
      <c r="BN99" s="92"/>
      <c r="BO99" s="92"/>
      <c r="BP99" s="92"/>
      <c r="BQ99" s="92"/>
      <c r="BR99" s="92"/>
      <c r="BS99" s="91"/>
      <c r="BT99" s="92"/>
      <c r="BU99" s="92"/>
      <c r="BV99" s="92"/>
      <c r="BW99" s="91"/>
      <c r="BX99" s="92"/>
      <c r="CA99" s="91"/>
      <c r="CB99" s="92"/>
      <c r="CG99" s="91"/>
      <c r="CH99" s="92"/>
      <c r="CK99" s="91"/>
      <c r="CL99" s="92"/>
      <c r="CR99" s="91"/>
      <c r="CS99" s="92"/>
      <c r="CV99" s="91"/>
      <c r="CW99" s="92"/>
      <c r="DB99" s="91"/>
      <c r="DC99" s="92"/>
      <c r="DF99" s="91"/>
      <c r="DG99" s="92"/>
      <c r="DM99" s="91"/>
      <c r="DN99" s="92"/>
      <c r="DT99" s="91"/>
      <c r="DU99" s="92"/>
      <c r="DX99" s="91"/>
      <c r="DY99" s="92"/>
      <c r="EB99" s="91"/>
      <c r="EC99" s="92"/>
      <c r="EF99" s="91"/>
      <c r="EG99" s="92"/>
      <c r="EJ99" s="91"/>
      <c r="EK99" s="92"/>
      <c r="EN99" s="91"/>
      <c r="EO99" s="92"/>
      <c r="ER99" s="91"/>
      <c r="ES99" s="92"/>
      <c r="EV99" s="91"/>
      <c r="EW99" s="92"/>
      <c r="EZ99" s="91"/>
      <c r="FA99" s="92"/>
      <c r="FD99" s="91"/>
      <c r="FE99" s="92"/>
      <c r="FH99" s="91"/>
      <c r="FI99" s="92"/>
      <c r="FL99" s="91"/>
      <c r="FM99" s="92"/>
      <c r="FP99" s="91"/>
      <c r="FQ99" s="92"/>
      <c r="FT99" s="91"/>
      <c r="FU99" s="92"/>
      <c r="FX99" s="91"/>
      <c r="FY99" s="92"/>
      <c r="GB99" s="91"/>
      <c r="GC99" s="92"/>
      <c r="GF99" s="91"/>
      <c r="GG99" s="92"/>
      <c r="GJ99" s="91"/>
      <c r="GK99" s="92"/>
      <c r="GN99" s="91"/>
      <c r="GO99" s="92"/>
      <c r="GR99" s="91"/>
      <c r="GS99" s="92"/>
      <c r="GV99" s="91"/>
      <c r="GW99" s="92"/>
      <c r="GZ99" s="91"/>
      <c r="HA99" s="92"/>
      <c r="HD99" s="91"/>
      <c r="HE99" s="9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5" x14ac:dyDescent="0.2">
      <c r="B100" s="165" t="s">
        <v>282</v>
      </c>
      <c r="C100" s="117"/>
      <c r="D100" s="118"/>
      <c r="E100" s="130">
        <f>E57/E28</f>
        <v>0</v>
      </c>
      <c r="F100" s="130">
        <f>F57/F28</f>
        <v>0</v>
      </c>
      <c r="G100" s="130">
        <f>G57/G28</f>
        <v>0</v>
      </c>
      <c r="H100" s="130">
        <f>H57/H28</f>
        <v>0</v>
      </c>
      <c r="I100" s="130"/>
      <c r="J100" s="114"/>
      <c r="K100" s="108"/>
      <c r="L100" s="130">
        <f>L57/L28</f>
        <v>0</v>
      </c>
      <c r="M100" s="150"/>
      <c r="N100" s="117"/>
      <c r="O100" s="118"/>
      <c r="P100" s="130">
        <f>P57/P28</f>
        <v>2.9780919835721228E-2</v>
      </c>
      <c r="Q100" s="130">
        <f>Q57/Q28</f>
        <v>4.0122088522975156E-2</v>
      </c>
      <c r="R100" s="130">
        <f>R57/R28</f>
        <v>0</v>
      </c>
      <c r="S100" s="130">
        <f>S57/S28</f>
        <v>0</v>
      </c>
      <c r="T100" s="150"/>
      <c r="U100" s="114"/>
      <c r="V100" s="108"/>
      <c r="W100" s="130">
        <f>W57/W28</f>
        <v>2.2155486554698338E-2</v>
      </c>
      <c r="X100" s="130">
        <f>X57/X28</f>
        <v>3.2807608976812903E-2</v>
      </c>
      <c r="Y100" s="130">
        <f>Y57/Y28</f>
        <v>0</v>
      </c>
      <c r="Z100" s="130">
        <f>Z57/Z28</f>
        <v>0</v>
      </c>
      <c r="AA100" s="150"/>
      <c r="AB100" s="114"/>
      <c r="AC100" s="108"/>
      <c r="AD100" s="130">
        <f>AD57/AD28</f>
        <v>0</v>
      </c>
      <c r="AE100" s="150"/>
      <c r="AF100" s="114"/>
      <c r="AG100" s="108"/>
      <c r="AH100" s="130">
        <f>AH57/AH28</f>
        <v>0</v>
      </c>
      <c r="AI100" s="150"/>
      <c r="AJ100" s="114"/>
      <c r="AK100" s="108"/>
      <c r="AL100" s="130">
        <f>AL57/AL28</f>
        <v>8.8843251607159529E-2</v>
      </c>
      <c r="AM100" s="150"/>
      <c r="AN100" s="150"/>
      <c r="AO100" s="150"/>
      <c r="AP100" s="114"/>
      <c r="AQ100" s="108"/>
      <c r="AR100" s="130">
        <f>AR57/AR28</f>
        <v>0</v>
      </c>
      <c r="AS100" s="130">
        <f>AS57/AS28</f>
        <v>0</v>
      </c>
      <c r="AT100" s="130">
        <f>AT57/AT28</f>
        <v>0</v>
      </c>
      <c r="AU100" s="130">
        <f>AU57/AU28</f>
        <v>0</v>
      </c>
      <c r="AV100" s="150"/>
      <c r="AW100" s="114"/>
      <c r="AX100" s="108"/>
      <c r="AY100" s="130">
        <f>AY57/AY28</f>
        <v>0</v>
      </c>
      <c r="AZ100" s="150"/>
      <c r="BA100" s="151"/>
      <c r="BB100" s="152"/>
      <c r="BC100" s="130">
        <f>BC57/BC28</f>
        <v>0</v>
      </c>
      <c r="BD100" s="153"/>
      <c r="BE100" s="151"/>
      <c r="BF100" s="152"/>
      <c r="BG100" s="130">
        <f>BG57/BG28</f>
        <v>1.8363278620618238E-2</v>
      </c>
      <c r="BH100" s="130">
        <f>BH57/BH28</f>
        <v>0.21897530367779763</v>
      </c>
      <c r="BI100" s="130">
        <f>BI57/BI28</f>
        <v>0</v>
      </c>
      <c r="BJ100" s="130">
        <f>BJ57/BJ28</f>
        <v>0</v>
      </c>
      <c r="BK100" s="153"/>
      <c r="BL100" s="151"/>
      <c r="BM100" s="152"/>
      <c r="BN100" s="130">
        <f>BN57/BN28</f>
        <v>0</v>
      </c>
      <c r="BO100" s="130">
        <f>BO57/BO28</f>
        <v>0</v>
      </c>
      <c r="BP100" s="130">
        <f>BP57/BP28</f>
        <v>0</v>
      </c>
      <c r="BQ100" s="130">
        <f>BQ57/BQ28</f>
        <v>0</v>
      </c>
      <c r="BR100" s="153"/>
      <c r="BS100" s="114"/>
      <c r="BT100" s="130"/>
      <c r="BU100" s="130">
        <f>BU57/BU28</f>
        <v>0</v>
      </c>
      <c r="BV100" s="153"/>
      <c r="BY100" s="130" t="e">
        <f>BY57/BY28</f>
        <v>#DIV/0!</v>
      </c>
      <c r="BZ100" s="150"/>
      <c r="CA100" s="154"/>
      <c r="CB100" s="131"/>
      <c r="CC100" s="130">
        <f>CC57/CC28</f>
        <v>6.3857798141980809E-2</v>
      </c>
      <c r="CD100" s="130">
        <f>CD57/CD28</f>
        <v>1.7516323129905051E-4</v>
      </c>
      <c r="CE100" s="130">
        <f>CE57/CE28</f>
        <v>0</v>
      </c>
      <c r="CF100" s="150"/>
      <c r="CG100" s="114"/>
      <c r="CH100" s="108"/>
      <c r="CI100" s="130">
        <f>CI57/CI28</f>
        <v>0.259229949934628</v>
      </c>
      <c r="CJ100" s="150"/>
      <c r="CK100" s="114"/>
      <c r="CL100" s="108"/>
      <c r="CM100" s="130">
        <f>CM57/CM28</f>
        <v>0</v>
      </c>
      <c r="CN100" s="150"/>
      <c r="CO100" s="150"/>
      <c r="CP100" s="150"/>
      <c r="CQ100" s="150"/>
      <c r="CR100" s="114"/>
      <c r="CS100" s="108"/>
      <c r="CT100" s="130">
        <f>CT57/CT28</f>
        <v>0</v>
      </c>
      <c r="CU100" s="150"/>
      <c r="CV100" s="114"/>
      <c r="CW100" s="108"/>
      <c r="CX100" s="130">
        <f>CX57/CX28</f>
        <v>0</v>
      </c>
      <c r="CY100" s="150"/>
      <c r="CZ100" s="150"/>
      <c r="DA100" s="150"/>
      <c r="DB100" s="114"/>
      <c r="DC100" s="108"/>
      <c r="DD100" s="130">
        <f>DD57/DD28</f>
        <v>0</v>
      </c>
      <c r="DE100" s="150"/>
      <c r="DF100" s="114"/>
      <c r="DG100" s="108"/>
      <c r="DH100" s="130">
        <f>DH57/DH28</f>
        <v>0</v>
      </c>
      <c r="DI100" s="150"/>
      <c r="DJ100" s="150"/>
      <c r="DK100" s="150"/>
      <c r="DL100" s="150"/>
      <c r="DO100" s="130">
        <f>DO57/DO28</f>
        <v>3.4142181369048119E-2</v>
      </c>
      <c r="DP100" s="150"/>
      <c r="DQ100" s="150"/>
      <c r="DR100" s="150"/>
      <c r="DS100" s="150"/>
      <c r="DT100" s="114"/>
      <c r="DU100" s="108"/>
      <c r="DV100" s="130">
        <f>DV57/DV28</f>
        <v>5.6477454752176123E-2</v>
      </c>
      <c r="DW100" s="150"/>
      <c r="DX100" s="114"/>
      <c r="DY100" s="108"/>
      <c r="DZ100" s="130">
        <f>DZ57/DZ28</f>
        <v>0.25347879349865804</v>
      </c>
      <c r="EA100" s="150"/>
      <c r="ED100" s="130">
        <f>ED57/ED28</f>
        <v>0</v>
      </c>
      <c r="EE100" s="150"/>
      <c r="EH100" s="130">
        <f>EH57/EH28</f>
        <v>0</v>
      </c>
      <c r="EI100" s="150"/>
      <c r="EL100" s="130">
        <f>EL57/EL28</f>
        <v>0.10343780061769024</v>
      </c>
      <c r="EM100" s="150"/>
      <c r="EP100" s="130">
        <f>EP57/EP28</f>
        <v>0</v>
      </c>
      <c r="EQ100" s="150"/>
      <c r="ET100" s="130">
        <f>ET57/ET28</f>
        <v>0</v>
      </c>
      <c r="EU100" s="150"/>
      <c r="EX100" s="130">
        <f>EX57/EX28</f>
        <v>0</v>
      </c>
      <c r="EY100" s="130"/>
      <c r="FB100" s="130">
        <f>FB57/FB28</f>
        <v>0</v>
      </c>
      <c r="FC100" s="150"/>
      <c r="FF100" s="130">
        <f>FF57/FF28</f>
        <v>0</v>
      </c>
      <c r="FG100" s="150"/>
      <c r="FJ100" s="130">
        <f>FJ57/FJ28</f>
        <v>0</v>
      </c>
      <c r="FK100" s="150"/>
      <c r="FN100" s="130">
        <f>FN57/FN28</f>
        <v>1</v>
      </c>
      <c r="FO100" s="150"/>
      <c r="FR100" s="130">
        <f>FR57/FR28</f>
        <v>0</v>
      </c>
      <c r="FS100" s="150"/>
      <c r="FV100" s="130">
        <f>FV57/FV28</f>
        <v>0.31812355456794639</v>
      </c>
      <c r="FW100" s="150"/>
      <c r="FZ100" s="130">
        <f>FZ57/FZ28</f>
        <v>0</v>
      </c>
      <c r="GA100" s="150"/>
      <c r="GD100" s="130">
        <f>GD57/GD28</f>
        <v>0</v>
      </c>
      <c r="GE100" s="150"/>
      <c r="GH100" s="130">
        <f>GH57/GH28</f>
        <v>0</v>
      </c>
      <c r="GI100" s="150"/>
      <c r="GL100" s="130">
        <f>GL57/GL28</f>
        <v>0</v>
      </c>
      <c r="GM100" s="150"/>
      <c r="GP100" s="130">
        <f>GP57/GP28</f>
        <v>0</v>
      </c>
      <c r="GQ100" s="150"/>
      <c r="GT100" s="130">
        <f>GT57/GT28</f>
        <v>0</v>
      </c>
      <c r="GU100" s="150"/>
      <c r="GX100" s="130">
        <f>GX57/GX28</f>
        <v>1.5458466655105372E-2</v>
      </c>
      <c r="GY100" s="150"/>
      <c r="HB100" s="130">
        <f>HB57/HB28</f>
        <v>0.99994205348143161</v>
      </c>
      <c r="HC100" s="150"/>
      <c r="HF100" s="130">
        <f>HF57/HF28</f>
        <v>0</v>
      </c>
      <c r="HG100" s="130">
        <f>HG57/HG28</f>
        <v>0.99999978070603002</v>
      </c>
      <c r="HH100" s="150"/>
    </row>
    <row r="101" spans="1:256" ht="15" x14ac:dyDescent="0.2">
      <c r="B101" s="166" t="s">
        <v>283</v>
      </c>
      <c r="C101" s="117"/>
      <c r="D101" s="118"/>
      <c r="E101" s="130">
        <f>E54/SUM(E14+E7)</f>
        <v>0</v>
      </c>
      <c r="F101" s="130">
        <f>F54/SUM(F14+F7)</f>
        <v>0</v>
      </c>
      <c r="G101" s="130">
        <f>G54/SUM(G14+G7)</f>
        <v>0</v>
      </c>
      <c r="H101" s="130">
        <f>H54/SUM(H14+H7)</f>
        <v>0</v>
      </c>
      <c r="I101" s="130"/>
      <c r="J101" s="114"/>
      <c r="K101" s="108"/>
      <c r="L101" s="130">
        <f>L54/SUM(L14+L7)</f>
        <v>0.56871737238979114</v>
      </c>
      <c r="M101" s="150"/>
      <c r="N101" s="117"/>
      <c r="O101" s="118"/>
      <c r="P101" s="130">
        <f>P54/SUM(P14+P7)</f>
        <v>0.41112096855741548</v>
      </c>
      <c r="Q101" s="130">
        <f>Q54/SUM(Q14+Q7)</f>
        <v>0.39247849137880025</v>
      </c>
      <c r="R101" s="130">
        <f>R54/SUM(R14+R7)</f>
        <v>0</v>
      </c>
      <c r="S101" s="130">
        <f>S54/SUM(S14+S7)</f>
        <v>0</v>
      </c>
      <c r="T101" s="150"/>
      <c r="U101" s="114"/>
      <c r="V101" s="108"/>
      <c r="W101" s="130">
        <f>W54/SUM(W14+W7)</f>
        <v>2.9386590108846845E-2</v>
      </c>
      <c r="X101" s="130">
        <f>X54/SUM(X14+X7)</f>
        <v>5.6512953506627508E-2</v>
      </c>
      <c r="Y101" s="130">
        <f>Y54/SUM(Y14+Y7)</f>
        <v>0</v>
      </c>
      <c r="Z101" s="130">
        <f>Z54/SUM(Z14+Z7)</f>
        <v>0</v>
      </c>
      <c r="AA101" s="150"/>
      <c r="AB101" s="114"/>
      <c r="AC101" s="108"/>
      <c r="AD101" s="130">
        <f>AD54/SUM(AD14+AD7)</f>
        <v>0</v>
      </c>
      <c r="AE101" s="150"/>
      <c r="AF101" s="114"/>
      <c r="AG101" s="108"/>
      <c r="AH101" s="130">
        <f>AH54/SUM(AH14+AH7)</f>
        <v>0</v>
      </c>
      <c r="AI101" s="150"/>
      <c r="AJ101" s="114"/>
      <c r="AK101" s="108"/>
      <c r="AL101" s="130">
        <f>AL54/SUM(AL14+AL7)</f>
        <v>3.8900775236877932E-2</v>
      </c>
      <c r="AM101" s="150"/>
      <c r="AN101" s="150"/>
      <c r="AO101" s="150"/>
      <c r="AP101" s="114"/>
      <c r="AQ101" s="108"/>
      <c r="AR101" s="130">
        <f>AR54/SUM(AR14+AR7)</f>
        <v>0.18955945692186171</v>
      </c>
      <c r="AS101" s="130">
        <f>AS54/SUM(AS14+AS7)</f>
        <v>0.17333996671371218</v>
      </c>
      <c r="AT101" s="130">
        <f>AT54/SUM(AT14+AT7)</f>
        <v>0.2517401605953058</v>
      </c>
      <c r="AU101" s="130">
        <f>AU54/SUM(AU14+AU7)</f>
        <v>0.16736308349114729</v>
      </c>
      <c r="AV101" s="150"/>
      <c r="AW101" s="114"/>
      <c r="AX101" s="108"/>
      <c r="AY101" s="130">
        <f>AY54/SUM(AY14+AY7)</f>
        <v>1</v>
      </c>
      <c r="AZ101" s="150"/>
      <c r="BA101" s="151"/>
      <c r="BB101" s="152"/>
      <c r="BC101" s="130">
        <f>BC54/SUM(BC14+BC7)</f>
        <v>0</v>
      </c>
      <c r="BD101" s="153"/>
      <c r="BE101" s="151"/>
      <c r="BF101" s="152"/>
      <c r="BG101" s="130">
        <f>BG54/SUM(BG14+BG7)</f>
        <v>5.8440338975093313E-2</v>
      </c>
      <c r="BH101" s="130">
        <f>BH54/SUM(BH14+BH7)</f>
        <v>0.13023404644359116</v>
      </c>
      <c r="BI101" s="130">
        <f>BI54/SUM(BI14+BI7)</f>
        <v>0</v>
      </c>
      <c r="BJ101" s="130">
        <f>BJ54/SUM(BJ14+BJ7)</f>
        <v>0</v>
      </c>
      <c r="BK101" s="153"/>
      <c r="BL101" s="151"/>
      <c r="BM101" s="152"/>
      <c r="BN101" s="130">
        <f>BN54/SUM(BN14+BN7)</f>
        <v>0</v>
      </c>
      <c r="BO101" s="130">
        <f>BO54/SUM(BO14+BO7)</f>
        <v>0</v>
      </c>
      <c r="BP101" s="130">
        <f>BP54/SUM(BP14+BP7)</f>
        <v>0</v>
      </c>
      <c r="BQ101" s="130">
        <f>BQ54/SUM(BQ14+BQ7)</f>
        <v>0</v>
      </c>
      <c r="BR101" s="153"/>
      <c r="BS101" s="114"/>
      <c r="BT101" s="130"/>
      <c r="BU101" s="130">
        <f>BU54/SUM(BU14+BU7)</f>
        <v>0</v>
      </c>
      <c r="BV101" s="153"/>
      <c r="BY101" s="130">
        <f>BY54/SUM(BY14+BY7)</f>
        <v>0</v>
      </c>
      <c r="BZ101" s="150"/>
      <c r="CA101" s="154"/>
      <c r="CB101" s="131"/>
      <c r="CC101" s="130">
        <f>CC54/SUM(CC14+CC7)</f>
        <v>0</v>
      </c>
      <c r="CD101" s="130">
        <f>CD54/SUM(CD14+CD7)</f>
        <v>0</v>
      </c>
      <c r="CE101" s="130">
        <f>CE54/SUM(CE14+CE7)</f>
        <v>0</v>
      </c>
      <c r="CF101" s="150"/>
      <c r="CG101" s="114"/>
      <c r="CH101" s="108"/>
      <c r="CI101" s="130">
        <f>CI54/SUM(CI14+CI7)</f>
        <v>5.2063788503516853E-2</v>
      </c>
      <c r="CJ101" s="150"/>
      <c r="CK101" s="114"/>
      <c r="CL101" s="108"/>
      <c r="CM101" s="130">
        <f>CM54/SUM(CM14+CM7)</f>
        <v>0.11748618355832841</v>
      </c>
      <c r="CN101" s="150"/>
      <c r="CO101" s="150"/>
      <c r="CP101" s="150"/>
      <c r="CQ101" s="150"/>
      <c r="CR101" s="114"/>
      <c r="CS101" s="108"/>
      <c r="CT101" s="130">
        <f>CT54/SUM(CT14+CT7)</f>
        <v>0.25658106527358554</v>
      </c>
      <c r="CU101" s="150"/>
      <c r="CV101" s="114"/>
      <c r="CW101" s="108"/>
      <c r="CX101" s="130">
        <f>CX54/SUM(CX14+CX7)</f>
        <v>0</v>
      </c>
      <c r="CY101" s="150"/>
      <c r="CZ101" s="150"/>
      <c r="DA101" s="150"/>
      <c r="DB101" s="114"/>
      <c r="DC101" s="108"/>
      <c r="DD101" s="130">
        <f>DD54/SUM(DD14+DD7)</f>
        <v>0</v>
      </c>
      <c r="DE101" s="150"/>
      <c r="DF101" s="114"/>
      <c r="DG101" s="108"/>
      <c r="DH101" s="130">
        <f>DH54/SUM(DH14+DH7)</f>
        <v>0</v>
      </c>
      <c r="DI101" s="150"/>
      <c r="DJ101" s="150"/>
      <c r="DK101" s="150"/>
      <c r="DL101" s="150"/>
      <c r="DO101" s="130">
        <f>DO54/SUM(DO14+DO7)</f>
        <v>7.0447340612891859E-3</v>
      </c>
      <c r="DP101" s="150"/>
      <c r="DQ101" s="150"/>
      <c r="DR101" s="150"/>
      <c r="DS101" s="150"/>
      <c r="DT101" s="114"/>
      <c r="DU101" s="108"/>
      <c r="DV101" s="130">
        <f>DV54/SUM(DV14+DV7)</f>
        <v>0</v>
      </c>
      <c r="DW101" s="150"/>
      <c r="DX101" s="114"/>
      <c r="DY101" s="108"/>
      <c r="DZ101" s="130">
        <f>DZ54/SUM(DZ14+DZ7)</f>
        <v>0.19442457222606635</v>
      </c>
      <c r="EA101" s="150"/>
      <c r="ED101" s="130">
        <f>ED54/SUM(ED14+ED7)</f>
        <v>0</v>
      </c>
      <c r="EE101" s="150"/>
      <c r="EH101" s="130">
        <f>EH54/SUM(EH14+EH7)</f>
        <v>1.4583274573402904E-2</v>
      </c>
      <c r="EI101" s="150"/>
      <c r="EL101" s="130">
        <f>EL54/SUM(EL14+EL7)</f>
        <v>3.7502024947351366E-2</v>
      </c>
      <c r="EM101" s="150"/>
      <c r="EP101" s="130">
        <f>EP54/SUM(EP14+EP7)</f>
        <v>0</v>
      </c>
      <c r="EQ101" s="150"/>
      <c r="ET101" s="130">
        <f>ET54/SUM(ET14+ET7)</f>
        <v>1.4870235867483409E-2</v>
      </c>
      <c r="EU101" s="150"/>
      <c r="EX101" s="130">
        <f>EX54/SUM(EX14+EX7)</f>
        <v>7.5085153995791548E-2</v>
      </c>
      <c r="EY101" s="130"/>
      <c r="FB101" s="130">
        <f>FB54/SUM(FB14+FB7)</f>
        <v>0</v>
      </c>
      <c r="FC101" s="150"/>
      <c r="FF101" s="130">
        <f>FF54/SUM(FF14+FF7)</f>
        <v>5.0131053261063187E-2</v>
      </c>
      <c r="FG101" s="150"/>
      <c r="FJ101" s="130">
        <f>FJ54/SUM(FJ14+FJ7)</f>
        <v>0</v>
      </c>
      <c r="FK101" s="150"/>
      <c r="FN101" s="130">
        <f>FN54/SUM(FN14+FN7)</f>
        <v>1</v>
      </c>
      <c r="FO101" s="150"/>
      <c r="FR101" s="130">
        <f>FR54/SUM(FR14+FR7)</f>
        <v>0</v>
      </c>
      <c r="FS101" s="150"/>
      <c r="FV101" s="130">
        <f>FV54/SUM(FV14+FV7)</f>
        <v>0</v>
      </c>
      <c r="FW101" s="150"/>
      <c r="FZ101" s="130">
        <f>FZ54/SUM(FZ14+FZ7)</f>
        <v>0</v>
      </c>
      <c r="GA101" s="150"/>
      <c r="GD101" s="130">
        <f>GD54/SUM(GD14+GD7)</f>
        <v>0</v>
      </c>
      <c r="GE101" s="150"/>
      <c r="GH101" s="130">
        <f>GH54/SUM(GH14+GH7)</f>
        <v>0</v>
      </c>
      <c r="GI101" s="150"/>
      <c r="GL101" s="130">
        <f>GL54/SUM(GL14+GL7)</f>
        <v>0</v>
      </c>
      <c r="GM101" s="150"/>
      <c r="GP101" s="130">
        <f>GP54/SUM(GP14+GP7)</f>
        <v>0</v>
      </c>
      <c r="GQ101" s="150"/>
      <c r="GT101" s="130">
        <f>GT54/SUM(GT14+GT7)</f>
        <v>0</v>
      </c>
      <c r="GU101" s="150"/>
      <c r="GX101" s="130">
        <f>GX54/SUM(GX14+GX7)</f>
        <v>2.0491139316741198E-2</v>
      </c>
      <c r="GY101" s="150"/>
      <c r="HB101" s="130">
        <f>HB54/SUM(HB14+HB7)</f>
        <v>0</v>
      </c>
      <c r="HC101" s="150"/>
      <c r="HF101" s="130">
        <f>HF54/SUM(HF14+HF7)</f>
        <v>0</v>
      </c>
      <c r="HG101" s="130">
        <f>HG54/SUM(HG14+HG7)</f>
        <v>0</v>
      </c>
      <c r="HH101" s="150"/>
    </row>
    <row r="102" spans="1:256" s="85" customFormat="1" ht="14.25" customHeight="1" x14ac:dyDescent="0.2">
      <c r="A102" s="162"/>
      <c r="B102" s="163"/>
      <c r="C102" s="125"/>
      <c r="D102" s="126"/>
      <c r="E102" s="92"/>
      <c r="F102" s="92"/>
      <c r="G102" s="92"/>
      <c r="H102" s="92"/>
      <c r="I102" s="92"/>
      <c r="J102" s="91"/>
      <c r="K102" s="92"/>
      <c r="N102" s="125"/>
      <c r="O102" s="126"/>
      <c r="U102" s="91"/>
      <c r="V102" s="92"/>
      <c r="AB102" s="91"/>
      <c r="AC102" s="92"/>
      <c r="AF102" s="91"/>
      <c r="AG102" s="92"/>
      <c r="AJ102" s="91"/>
      <c r="AK102" s="92"/>
      <c r="AP102" s="91"/>
      <c r="AQ102" s="92"/>
      <c r="AW102" s="91"/>
      <c r="AX102" s="92"/>
      <c r="BA102" s="91"/>
      <c r="BB102" s="92"/>
      <c r="BC102" s="92"/>
      <c r="BD102" s="92"/>
      <c r="BE102" s="91"/>
      <c r="BF102" s="92"/>
      <c r="BG102" s="92"/>
      <c r="BH102" s="92"/>
      <c r="BI102" s="92"/>
      <c r="BJ102" s="92"/>
      <c r="BK102" s="92"/>
      <c r="BL102" s="91"/>
      <c r="BM102" s="92"/>
      <c r="BN102" s="92"/>
      <c r="BO102" s="92"/>
      <c r="BP102" s="92"/>
      <c r="BQ102" s="92"/>
      <c r="BR102" s="92"/>
      <c r="BS102" s="91"/>
      <c r="BT102" s="92"/>
      <c r="BU102" s="92"/>
      <c r="BV102" s="92"/>
      <c r="BW102" s="91"/>
      <c r="BX102" s="92"/>
      <c r="CA102" s="91"/>
      <c r="CB102" s="92"/>
      <c r="CG102" s="91"/>
      <c r="CH102" s="92"/>
      <c r="CK102" s="91"/>
      <c r="CL102" s="92"/>
      <c r="CR102" s="91"/>
      <c r="CS102" s="92"/>
      <c r="CV102" s="91"/>
      <c r="CW102" s="92"/>
      <c r="DB102" s="91"/>
      <c r="DC102" s="92"/>
      <c r="DF102" s="91"/>
      <c r="DG102" s="92"/>
      <c r="DM102" s="91"/>
      <c r="DN102" s="92"/>
      <c r="DT102" s="91"/>
      <c r="DU102" s="92"/>
      <c r="DX102" s="91"/>
      <c r="DY102" s="92"/>
      <c r="EB102" s="91"/>
      <c r="EC102" s="92"/>
      <c r="EF102" s="91"/>
      <c r="EG102" s="92"/>
      <c r="EJ102" s="91"/>
      <c r="EK102" s="92"/>
      <c r="EN102" s="91"/>
      <c r="EO102" s="92"/>
      <c r="ER102" s="91"/>
      <c r="ES102" s="92"/>
      <c r="EV102" s="91"/>
      <c r="EW102" s="92"/>
      <c r="EZ102" s="91"/>
      <c r="FA102" s="92"/>
      <c r="FD102" s="91"/>
      <c r="FE102" s="92"/>
      <c r="FH102" s="91"/>
      <c r="FI102" s="92"/>
      <c r="FL102" s="91"/>
      <c r="FM102" s="92"/>
      <c r="FP102" s="91"/>
      <c r="FQ102" s="92"/>
      <c r="FT102" s="91"/>
      <c r="FU102" s="92"/>
      <c r="FX102" s="91"/>
      <c r="FY102" s="92"/>
      <c r="GB102" s="91"/>
      <c r="GC102" s="92"/>
      <c r="GF102" s="91"/>
      <c r="GG102" s="92"/>
      <c r="GJ102" s="91"/>
      <c r="GK102" s="92"/>
      <c r="GN102" s="91"/>
      <c r="GO102" s="92"/>
      <c r="GR102" s="91"/>
      <c r="GS102" s="92"/>
      <c r="GV102" s="91"/>
      <c r="GW102" s="92"/>
      <c r="GZ102" s="91"/>
      <c r="HA102" s="92"/>
      <c r="HD102" s="91"/>
      <c r="HE102" s="9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85" customFormat="1" ht="14.25" customHeight="1" x14ac:dyDescent="0.2">
      <c r="A103" s="148" t="s">
        <v>144</v>
      </c>
      <c r="B103" s="148"/>
      <c r="C103" s="125"/>
      <c r="D103" s="126"/>
      <c r="E103" s="92"/>
      <c r="F103" s="92"/>
      <c r="G103" s="92"/>
      <c r="H103" s="92"/>
      <c r="I103" s="92"/>
      <c r="J103" s="91"/>
      <c r="K103" s="92"/>
      <c r="N103" s="125"/>
      <c r="O103" s="126"/>
      <c r="U103" s="91"/>
      <c r="V103" s="92"/>
      <c r="AB103" s="91"/>
      <c r="AC103" s="92"/>
      <c r="AF103" s="91"/>
      <c r="AG103" s="92"/>
      <c r="AJ103" s="91"/>
      <c r="AK103" s="92"/>
      <c r="AP103" s="91"/>
      <c r="AQ103" s="92"/>
      <c r="AW103" s="91"/>
      <c r="AX103" s="92"/>
      <c r="BA103" s="91"/>
      <c r="BB103" s="92"/>
      <c r="BC103" s="92"/>
      <c r="BD103" s="92"/>
      <c r="BE103" s="91"/>
      <c r="BF103" s="92"/>
      <c r="BG103" s="92"/>
      <c r="BH103" s="92"/>
      <c r="BI103" s="92"/>
      <c r="BJ103" s="92"/>
      <c r="BK103" s="92"/>
      <c r="BL103" s="91"/>
      <c r="BM103" s="92"/>
      <c r="BN103" s="92"/>
      <c r="BO103" s="92"/>
      <c r="BP103" s="92"/>
      <c r="BQ103" s="92"/>
      <c r="BR103" s="92"/>
      <c r="BS103" s="91"/>
      <c r="BT103" s="92"/>
      <c r="BU103" s="92"/>
      <c r="BV103" s="92"/>
      <c r="BW103" s="91"/>
      <c r="BX103" s="92"/>
      <c r="CA103" s="91"/>
      <c r="CB103" s="92"/>
      <c r="CG103" s="91"/>
      <c r="CH103" s="92"/>
      <c r="CK103" s="91"/>
      <c r="CL103" s="92"/>
      <c r="CR103" s="91"/>
      <c r="CS103" s="92"/>
      <c r="CV103" s="91"/>
      <c r="CW103" s="92"/>
      <c r="DB103" s="91"/>
      <c r="DC103" s="92"/>
      <c r="DF103" s="91"/>
      <c r="DG103" s="92"/>
      <c r="DM103" s="91"/>
      <c r="DN103" s="92"/>
      <c r="DT103" s="91"/>
      <c r="DU103" s="92"/>
      <c r="DX103" s="91"/>
      <c r="DY103" s="92"/>
      <c r="EB103" s="91"/>
      <c r="EC103" s="92"/>
      <c r="EF103" s="91"/>
      <c r="EG103" s="92"/>
      <c r="EJ103" s="91"/>
      <c r="EK103" s="92"/>
      <c r="EN103" s="91"/>
      <c r="EO103" s="92"/>
      <c r="ER103" s="91"/>
      <c r="ES103" s="92"/>
      <c r="EV103" s="91"/>
      <c r="EW103" s="92"/>
      <c r="EZ103" s="91"/>
      <c r="FA103" s="92"/>
      <c r="FD103" s="91"/>
      <c r="FE103" s="92"/>
      <c r="FH103" s="91"/>
      <c r="FI103" s="92"/>
      <c r="FL103" s="91"/>
      <c r="FM103" s="92"/>
      <c r="FP103" s="91"/>
      <c r="FQ103" s="92"/>
      <c r="FT103" s="91"/>
      <c r="FU103" s="92"/>
      <c r="FX103" s="91"/>
      <c r="FY103" s="92"/>
      <c r="GB103" s="91"/>
      <c r="GC103" s="92"/>
      <c r="GF103" s="91"/>
      <c r="GG103" s="92"/>
      <c r="GJ103" s="91"/>
      <c r="GK103" s="92"/>
      <c r="GN103" s="91"/>
      <c r="GO103" s="92"/>
      <c r="GR103" s="91"/>
      <c r="GS103" s="92"/>
      <c r="GV103" s="91"/>
      <c r="GW103" s="92"/>
      <c r="GZ103" s="91"/>
      <c r="HA103" s="92"/>
      <c r="HD103" s="91"/>
      <c r="HE103" s="9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85" customFormat="1" ht="14.25" customHeight="1" x14ac:dyDescent="0.2">
      <c r="A104" s="162"/>
      <c r="B104" s="167" t="s">
        <v>284</v>
      </c>
      <c r="C104" s="125"/>
      <c r="D104" s="126"/>
      <c r="E104" s="130">
        <f>E42/E30</f>
        <v>0</v>
      </c>
      <c r="F104" s="130">
        <f>F42/F30</f>
        <v>0</v>
      </c>
      <c r="G104" s="130">
        <f>G42/G30</f>
        <v>0</v>
      </c>
      <c r="H104" s="130">
        <f>H42/H30</f>
        <v>0</v>
      </c>
      <c r="I104" s="130"/>
      <c r="J104" s="130" t="e">
        <f>J42/J30</f>
        <v>#DIV/0!</v>
      </c>
      <c r="K104" s="131"/>
      <c r="L104" s="130">
        <f>L42/L30</f>
        <v>0</v>
      </c>
      <c r="M104" s="130">
        <f>M42/M30</f>
        <v>0</v>
      </c>
      <c r="N104" s="130"/>
      <c r="O104" s="131"/>
      <c r="P104" s="130">
        <f>P42/P30</f>
        <v>5.7064516030141108E-2</v>
      </c>
      <c r="Q104" s="130">
        <f>Q42/Q30</f>
        <v>2.8660915159846107E-2</v>
      </c>
      <c r="R104" s="130">
        <f>R42/R30</f>
        <v>1.3832693691977861E-2</v>
      </c>
      <c r="S104" s="130">
        <f>S42/S30</f>
        <v>2.0371497786845171E-2</v>
      </c>
      <c r="T104" s="130"/>
      <c r="U104" s="130"/>
      <c r="V104" s="131"/>
      <c r="W104" s="130">
        <f>W42/W30</f>
        <v>9.3904111988387751E-4</v>
      </c>
      <c r="X104" s="130">
        <f>X42/X30</f>
        <v>0.88534886581841421</v>
      </c>
      <c r="Y104" s="130">
        <f>Y42/Y30</f>
        <v>0.91406801983703856</v>
      </c>
      <c r="Z104" s="130">
        <f>Z42/Z30</f>
        <v>0.83194184749570377</v>
      </c>
      <c r="AA104" s="130"/>
      <c r="AB104" s="130"/>
      <c r="AC104" s="131"/>
      <c r="AD104" s="130">
        <f>AD42/AD30</f>
        <v>3.8806018422899213E-2</v>
      </c>
      <c r="AE104" s="130">
        <f>AE42/AE30</f>
        <v>3.890896462620614E-2</v>
      </c>
      <c r="AF104" s="130"/>
      <c r="AG104" s="131"/>
      <c r="AH104" s="130">
        <f>AH42/AH30</f>
        <v>0</v>
      </c>
      <c r="AI104" s="130">
        <f>AI42/AI30</f>
        <v>0</v>
      </c>
      <c r="AJ104" s="130"/>
      <c r="AK104" s="131"/>
      <c r="AL104" s="130">
        <f>AL42/AL30</f>
        <v>0</v>
      </c>
      <c r="AM104" s="130">
        <f>AM42/AM30</f>
        <v>0</v>
      </c>
      <c r="AN104" s="130"/>
      <c r="AO104" s="130"/>
      <c r="AP104" s="130"/>
      <c r="AQ104" s="131"/>
      <c r="AR104" s="130">
        <f>AR42/AR30</f>
        <v>0.1901823564978331</v>
      </c>
      <c r="AS104" s="130">
        <f>AS42/AS30</f>
        <v>0.18939910061665682</v>
      </c>
      <c r="AT104" s="130">
        <f>AT42/AT30</f>
        <v>0.19406280720748517</v>
      </c>
      <c r="AU104" s="130">
        <f>AU42/AU30</f>
        <v>0.33200785030071095</v>
      </c>
      <c r="AV104" s="130"/>
      <c r="AW104" s="130" t="e">
        <f>AW42/AW30</f>
        <v>#DIV/0!</v>
      </c>
      <c r="AX104" s="131"/>
      <c r="AY104" s="130">
        <f>AY42/AY30</f>
        <v>0</v>
      </c>
      <c r="AZ104" s="130">
        <f>AZ42/AZ30</f>
        <v>0</v>
      </c>
      <c r="BA104" s="130" t="e">
        <f>BA42/BA30</f>
        <v>#DIV/0!</v>
      </c>
      <c r="BB104" s="131"/>
      <c r="BC104" s="130">
        <f>BC42/BC30</f>
        <v>0</v>
      </c>
      <c r="BD104" s="130"/>
      <c r="BE104" s="130"/>
      <c r="BF104" s="131"/>
      <c r="BG104" s="130">
        <f>BG42/BG30</f>
        <v>3.3360812043708367E-2</v>
      </c>
      <c r="BH104" s="130">
        <f>BH42/BH30</f>
        <v>7.3656683528406902E-2</v>
      </c>
      <c r="BI104" s="130">
        <f>BI42/BI30</f>
        <v>9.3291293878004319E-2</v>
      </c>
      <c r="BJ104" s="130">
        <f>BJ42/BJ30</f>
        <v>8.7783414804648754E-2</v>
      </c>
      <c r="BK104" s="130"/>
      <c r="BL104" s="130" t="e">
        <f>BL42/BL30</f>
        <v>#DIV/0!</v>
      </c>
      <c r="BM104" s="131"/>
      <c r="BN104" s="130">
        <f>BN42/BN30</f>
        <v>0.16697579153837772</v>
      </c>
      <c r="BO104" s="130">
        <f>BO42/BO30</f>
        <v>6.3550779075239358E-2</v>
      </c>
      <c r="BP104" s="130">
        <f>BP42/BP30</f>
        <v>8.1596608739221019E-2</v>
      </c>
      <c r="BQ104" s="130">
        <f>BQ42/BQ30</f>
        <v>5.9317691404814826E-2</v>
      </c>
      <c r="BR104" s="130"/>
      <c r="BS104" s="130" t="e">
        <f t="shared" ref="BS104:BZ104" si="31">BS42/BS30</f>
        <v>#DIV/0!</v>
      </c>
      <c r="BT104" s="130"/>
      <c r="BU104" s="130">
        <f t="shared" si="31"/>
        <v>0</v>
      </c>
      <c r="BV104" s="130">
        <f t="shared" si="31"/>
        <v>0</v>
      </c>
      <c r="BW104" s="130" t="e">
        <f t="shared" si="31"/>
        <v>#DIV/0!</v>
      </c>
      <c r="BX104" s="131"/>
      <c r="BY104" s="130">
        <f t="shared" si="31"/>
        <v>0</v>
      </c>
      <c r="BZ104" s="130">
        <f t="shared" si="31"/>
        <v>0</v>
      </c>
      <c r="CA104" s="130"/>
      <c r="CB104" s="131"/>
      <c r="CC104" s="130">
        <f>CC42/CC30</f>
        <v>0</v>
      </c>
      <c r="CD104" s="130">
        <f>CD42/CD30</f>
        <v>0</v>
      </c>
      <c r="CE104" s="130">
        <f>CE42/CE30</f>
        <v>0</v>
      </c>
      <c r="CF104" s="130"/>
      <c r="CG104" s="130" t="e">
        <f t="shared" ref="CG104:CN104" si="32">CG42/CG30</f>
        <v>#DIV/0!</v>
      </c>
      <c r="CH104" s="131"/>
      <c r="CI104" s="130">
        <f t="shared" si="32"/>
        <v>0</v>
      </c>
      <c r="CJ104" s="130">
        <f t="shared" si="32"/>
        <v>0</v>
      </c>
      <c r="CK104" s="130" t="e">
        <f t="shared" si="32"/>
        <v>#DIV/0!</v>
      </c>
      <c r="CL104" s="131"/>
      <c r="CM104" s="130">
        <f t="shared" si="32"/>
        <v>0.27080900381579387</v>
      </c>
      <c r="CN104" s="130">
        <f t="shared" si="32"/>
        <v>0.22788319523188599</v>
      </c>
      <c r="CO104" s="130"/>
      <c r="CP104" s="130"/>
      <c r="CQ104" s="130"/>
      <c r="CR104" s="130" t="e">
        <f t="shared" ref="CR104:CY104" si="33">CR42/CR30</f>
        <v>#DIV/0!</v>
      </c>
      <c r="CS104" s="131"/>
      <c r="CT104" s="130">
        <f t="shared" si="33"/>
        <v>0.36703208053046904</v>
      </c>
      <c r="CU104" s="130">
        <f t="shared" si="33"/>
        <v>0.10686994100562207</v>
      </c>
      <c r="CV104" s="130" t="e">
        <f t="shared" si="33"/>
        <v>#DIV/0!</v>
      </c>
      <c r="CW104" s="131"/>
      <c r="CX104" s="130">
        <f t="shared" si="33"/>
        <v>1.2366669477915202E-2</v>
      </c>
      <c r="CY104" s="130">
        <f t="shared" si="33"/>
        <v>0</v>
      </c>
      <c r="CZ104" s="130"/>
      <c r="DA104" s="130"/>
      <c r="DB104" s="130" t="e">
        <f t="shared" ref="DB104:DI104" si="34">DB42/DB30</f>
        <v>#DIV/0!</v>
      </c>
      <c r="DC104" s="131"/>
      <c r="DD104" s="130">
        <f t="shared" si="34"/>
        <v>0</v>
      </c>
      <c r="DE104" s="130">
        <f t="shared" si="34"/>
        <v>0</v>
      </c>
      <c r="DF104" s="130" t="e">
        <f t="shared" si="34"/>
        <v>#DIV/0!</v>
      </c>
      <c r="DG104" s="131"/>
      <c r="DH104" s="130">
        <f t="shared" si="34"/>
        <v>1.7440079265721744E-2</v>
      </c>
      <c r="DI104" s="130">
        <f t="shared" si="34"/>
        <v>4.808196980159626E-3</v>
      </c>
      <c r="DJ104" s="130"/>
      <c r="DK104" s="130"/>
      <c r="DL104" s="130"/>
      <c r="DM104" s="130" t="e">
        <f>DM42/DM30</f>
        <v>#DIV/0!</v>
      </c>
      <c r="DN104" s="131"/>
      <c r="DO104" s="130">
        <f>DO42/DO30</f>
        <v>5.882718065991506E-2</v>
      </c>
      <c r="DP104" s="130">
        <f>DP42/DP30</f>
        <v>8.2521744933597319E-2</v>
      </c>
      <c r="DQ104" s="130"/>
      <c r="DR104" s="130"/>
      <c r="DS104" s="130"/>
      <c r="DT104" s="130" t="e">
        <f t="shared" ref="DT104:GE104" si="35">DT42/DT30</f>
        <v>#DIV/0!</v>
      </c>
      <c r="DU104" s="131"/>
      <c r="DV104" s="130">
        <f t="shared" si="35"/>
        <v>0</v>
      </c>
      <c r="DW104" s="130">
        <f t="shared" si="35"/>
        <v>0</v>
      </c>
      <c r="DX104" s="130" t="e">
        <f t="shared" si="35"/>
        <v>#DIV/0!</v>
      </c>
      <c r="DY104" s="131"/>
      <c r="DZ104" s="130">
        <f t="shared" si="35"/>
        <v>6.888645387473637E-3</v>
      </c>
      <c r="EA104" s="130">
        <f t="shared" si="35"/>
        <v>3.2336128411092499E-2</v>
      </c>
      <c r="EB104" s="130" t="e">
        <f t="shared" si="35"/>
        <v>#DIV/0!</v>
      </c>
      <c r="EC104" s="131"/>
      <c r="ED104" s="130">
        <f t="shared" si="35"/>
        <v>5.5590385749294569E-6</v>
      </c>
      <c r="EE104" s="130">
        <f t="shared" si="35"/>
        <v>0</v>
      </c>
      <c r="EF104" s="130" t="e">
        <f t="shared" si="35"/>
        <v>#DIV/0!</v>
      </c>
      <c r="EG104" s="131"/>
      <c r="EH104" s="130">
        <f t="shared" si="35"/>
        <v>0</v>
      </c>
      <c r="EI104" s="130">
        <f t="shared" si="35"/>
        <v>0</v>
      </c>
      <c r="EJ104" s="130" t="e">
        <f t="shared" si="35"/>
        <v>#DIV/0!</v>
      </c>
      <c r="EK104" s="131"/>
      <c r="EL104" s="130">
        <f t="shared" si="35"/>
        <v>2.2634651393325256E-2</v>
      </c>
      <c r="EM104" s="130">
        <f t="shared" si="35"/>
        <v>1.6E-2</v>
      </c>
      <c r="EN104" s="130" t="e">
        <f t="shared" si="35"/>
        <v>#DIV/0!</v>
      </c>
      <c r="EO104" s="131"/>
      <c r="EP104" s="130">
        <f t="shared" si="35"/>
        <v>4.4175047009148351E-2</v>
      </c>
      <c r="EQ104" s="130">
        <f t="shared" si="35"/>
        <v>6.2541362586233509E-2</v>
      </c>
      <c r="ER104" s="130" t="e">
        <f t="shared" si="35"/>
        <v>#DIV/0!</v>
      </c>
      <c r="ES104" s="131"/>
      <c r="ET104" s="130">
        <f t="shared" si="35"/>
        <v>2.5867546650730131E-2</v>
      </c>
      <c r="EU104" s="130">
        <f t="shared" si="35"/>
        <v>3.7563625902620368E-3</v>
      </c>
      <c r="EV104" s="130" t="e">
        <f t="shared" si="35"/>
        <v>#DIV/0!</v>
      </c>
      <c r="EW104" s="131"/>
      <c r="EX104" s="130">
        <f t="shared" si="35"/>
        <v>0</v>
      </c>
      <c r="EY104" s="130" t="e">
        <f t="shared" si="35"/>
        <v>#DIV/0!</v>
      </c>
      <c r="EZ104" s="130" t="e">
        <f t="shared" si="35"/>
        <v>#DIV/0!</v>
      </c>
      <c r="FA104" s="131"/>
      <c r="FB104" s="130">
        <f t="shared" si="35"/>
        <v>0</v>
      </c>
      <c r="FC104" s="130">
        <f t="shared" si="35"/>
        <v>0</v>
      </c>
      <c r="FD104" s="130" t="e">
        <f t="shared" si="35"/>
        <v>#DIV/0!</v>
      </c>
      <c r="FE104" s="131"/>
      <c r="FF104" s="130">
        <f t="shared" si="35"/>
        <v>3.1371509367267587E-3</v>
      </c>
      <c r="FG104" s="130">
        <f t="shared" si="35"/>
        <v>5.9608714583865106E-3</v>
      </c>
      <c r="FH104" s="130" t="e">
        <f t="shared" si="35"/>
        <v>#DIV/0!</v>
      </c>
      <c r="FI104" s="131"/>
      <c r="FJ104" s="130">
        <f t="shared" si="35"/>
        <v>3.2927900430600426E-2</v>
      </c>
      <c r="FK104" s="130">
        <f t="shared" si="35"/>
        <v>3.8080197876347782E-2</v>
      </c>
      <c r="FL104" s="130" t="e">
        <f t="shared" si="35"/>
        <v>#DIV/0!</v>
      </c>
      <c r="FM104" s="131"/>
      <c r="FN104" s="130">
        <f t="shared" si="35"/>
        <v>0</v>
      </c>
      <c r="FO104" s="130">
        <f t="shared" si="35"/>
        <v>0</v>
      </c>
      <c r="FP104" s="130" t="e">
        <f t="shared" si="35"/>
        <v>#DIV/0!</v>
      </c>
      <c r="FQ104" s="131"/>
      <c r="FR104" s="130">
        <f t="shared" si="35"/>
        <v>0</v>
      </c>
      <c r="FS104" s="130">
        <f t="shared" si="35"/>
        <v>0</v>
      </c>
      <c r="FT104" s="130" t="e">
        <f t="shared" si="35"/>
        <v>#DIV/0!</v>
      </c>
      <c r="FU104" s="131"/>
      <c r="FV104" s="130">
        <f t="shared" si="35"/>
        <v>0</v>
      </c>
      <c r="FW104" s="130">
        <f t="shared" si="35"/>
        <v>0</v>
      </c>
      <c r="FX104" s="130" t="e">
        <f t="shared" si="35"/>
        <v>#DIV/0!</v>
      </c>
      <c r="FY104" s="131"/>
      <c r="FZ104" s="130">
        <f t="shared" si="35"/>
        <v>0</v>
      </c>
      <c r="GA104" s="130">
        <f t="shared" si="35"/>
        <v>0</v>
      </c>
      <c r="GB104" s="130" t="e">
        <f t="shared" si="35"/>
        <v>#DIV/0!</v>
      </c>
      <c r="GC104" s="131"/>
      <c r="GD104" s="130">
        <f t="shared" si="35"/>
        <v>0</v>
      </c>
      <c r="GE104" s="130">
        <f t="shared" si="35"/>
        <v>0</v>
      </c>
      <c r="GF104" s="130" t="e">
        <f t="shared" ref="GF104:GZ104" si="36">GF42/GF30</f>
        <v>#DIV/0!</v>
      </c>
      <c r="GG104" s="131"/>
      <c r="GH104" s="130">
        <f t="shared" si="36"/>
        <v>0</v>
      </c>
      <c r="GI104" s="130">
        <f t="shared" si="36"/>
        <v>0</v>
      </c>
      <c r="GJ104" s="130" t="e">
        <f t="shared" si="36"/>
        <v>#DIV/0!</v>
      </c>
      <c r="GK104" s="131"/>
      <c r="GL104" s="130">
        <f t="shared" si="36"/>
        <v>2.499288943199042E-2</v>
      </c>
      <c r="GM104" s="130">
        <f t="shared" si="36"/>
        <v>1.6859229457296542E-3</v>
      </c>
      <c r="GN104" s="130" t="e">
        <f t="shared" si="36"/>
        <v>#DIV/0!</v>
      </c>
      <c r="GO104" s="131"/>
      <c r="GP104" s="130">
        <f t="shared" si="36"/>
        <v>0</v>
      </c>
      <c r="GQ104" s="130">
        <f t="shared" si="36"/>
        <v>0</v>
      </c>
      <c r="GR104" s="130" t="e">
        <f t="shared" si="36"/>
        <v>#DIV/0!</v>
      </c>
      <c r="GS104" s="131"/>
      <c r="GT104" s="130">
        <f t="shared" si="36"/>
        <v>0</v>
      </c>
      <c r="GU104" s="130" t="e">
        <f t="shared" si="36"/>
        <v>#DIV/0!</v>
      </c>
      <c r="GV104" s="130" t="e">
        <f t="shared" si="36"/>
        <v>#DIV/0!</v>
      </c>
      <c r="GW104" s="131"/>
      <c r="GX104" s="130">
        <f t="shared" si="36"/>
        <v>1.4659297066393474E-2</v>
      </c>
      <c r="GY104" s="130">
        <f t="shared" si="36"/>
        <v>1.0065758833449035E-2</v>
      </c>
      <c r="GZ104" s="130" t="e">
        <f t="shared" si="36"/>
        <v>#DIV/0!</v>
      </c>
      <c r="HA104" s="131"/>
      <c r="HB104" s="130">
        <f>HB42/HB30</f>
        <v>0</v>
      </c>
      <c r="HC104" s="130" t="e">
        <f>HC42/HC30</f>
        <v>#DIV/0!</v>
      </c>
      <c r="HD104" s="130" t="e">
        <f>HD42/HD30</f>
        <v>#DIV/0!</v>
      </c>
      <c r="HE104" s="131"/>
      <c r="HF104" s="130">
        <f>HF42/HF30</f>
        <v>0</v>
      </c>
      <c r="HG104" s="130">
        <f>HG42/HG30</f>
        <v>0</v>
      </c>
      <c r="HH104" s="130">
        <f>HH42/HH30</f>
        <v>0</v>
      </c>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x14ac:dyDescent="0.2">
      <c r="A105" s="74"/>
      <c r="B105" s="168" t="s">
        <v>285</v>
      </c>
      <c r="C105" s="106"/>
      <c r="D105" s="107"/>
      <c r="E105" s="130">
        <f>E46/E28</f>
        <v>3.0398270849079636E-3</v>
      </c>
      <c r="F105" s="130">
        <f>F46/F28</f>
        <v>2.9048605026436988E-3</v>
      </c>
      <c r="G105" s="130">
        <f>G46/G28</f>
        <v>1.8060944489867721E-3</v>
      </c>
      <c r="H105" s="130">
        <f>H46/H28</f>
        <v>0</v>
      </c>
      <c r="I105" s="130"/>
      <c r="J105" s="130" t="e">
        <f>J46/J28</f>
        <v>#DIV/0!</v>
      </c>
      <c r="K105" s="131"/>
      <c r="L105" s="130">
        <f>L46/L28</f>
        <v>0</v>
      </c>
      <c r="M105" s="130">
        <f>M46/M28</f>
        <v>0</v>
      </c>
      <c r="N105" s="130"/>
      <c r="O105" s="131"/>
      <c r="P105" s="130">
        <f>P46/P28</f>
        <v>9.1653447032636285E-3</v>
      </c>
      <c r="Q105" s="130">
        <f>Q46/Q28</f>
        <v>1.0992716909436352E-2</v>
      </c>
      <c r="R105" s="130">
        <f>R46/R28</f>
        <v>1.4439465562558556E-2</v>
      </c>
      <c r="S105" s="130">
        <f>S46/S28</f>
        <v>2.6549874156386315E-2</v>
      </c>
      <c r="T105" s="130"/>
      <c r="U105" s="130"/>
      <c r="V105" s="131"/>
      <c r="W105" s="130">
        <f>W46/W28</f>
        <v>6.9392059449068918E-3</v>
      </c>
      <c r="X105" s="130">
        <f>X46/X28</f>
        <v>7.2410403217055457E-3</v>
      </c>
      <c r="Y105" s="130">
        <f>Y46/Y28</f>
        <v>1.9413199414527224E-2</v>
      </c>
      <c r="Z105" s="130">
        <f>Z46/Z28</f>
        <v>7.3622802228356229E-3</v>
      </c>
      <c r="AA105" s="130"/>
      <c r="AB105" s="130"/>
      <c r="AC105" s="131"/>
      <c r="AD105" s="130">
        <f>AD46/AD28</f>
        <v>2.5698199428123285E-2</v>
      </c>
      <c r="AE105" s="130">
        <f>AE46/AE28</f>
        <v>2.5662092917306034E-2</v>
      </c>
      <c r="AF105" s="130"/>
      <c r="AG105" s="131"/>
      <c r="AH105" s="130">
        <f>AH46/AH28</f>
        <v>0</v>
      </c>
      <c r="AI105" s="130">
        <f>AI46/AI28</f>
        <v>0</v>
      </c>
      <c r="AJ105" s="130"/>
      <c r="AK105" s="131"/>
      <c r="AL105" s="130">
        <f>AL46/AL28</f>
        <v>0</v>
      </c>
      <c r="AM105" s="130">
        <f>AM46/AM28</f>
        <v>0</v>
      </c>
      <c r="AN105" s="130"/>
      <c r="AO105" s="130"/>
      <c r="AP105" s="130"/>
      <c r="AQ105" s="131"/>
      <c r="AR105" s="130">
        <f>AR46/AR28</f>
        <v>3.8961074804098647E-2</v>
      </c>
      <c r="AS105" s="130">
        <f>AS46/AS28</f>
        <v>3.0927831015027489E-2</v>
      </c>
      <c r="AT105" s="130">
        <f>AT46/AT28</f>
        <v>2.5641098725070765E-2</v>
      </c>
      <c r="AU105" s="130">
        <f>AU46/AU28</f>
        <v>1.522848989204963E-2</v>
      </c>
      <c r="AV105" s="130"/>
      <c r="AW105" s="130" t="e">
        <f>AW46/AW28</f>
        <v>#DIV/0!</v>
      </c>
      <c r="AX105" s="131"/>
      <c r="AY105" s="130">
        <f>AY46/AY28</f>
        <v>0</v>
      </c>
      <c r="AZ105" s="130">
        <f>AZ46/AZ28</f>
        <v>0</v>
      </c>
      <c r="BA105" s="130" t="e">
        <f>BA46/BA28</f>
        <v>#DIV/0!</v>
      </c>
      <c r="BB105" s="131"/>
      <c r="BC105" s="130">
        <f>BC46/BC28</f>
        <v>0</v>
      </c>
      <c r="BD105" s="130"/>
      <c r="BE105" s="130"/>
      <c r="BF105" s="131"/>
      <c r="BG105" s="130">
        <f>BG46/BG28</f>
        <v>1.4547196189095429E-2</v>
      </c>
      <c r="BH105" s="130">
        <f>BH46/BH28</f>
        <v>3.6004949862382604E-2</v>
      </c>
      <c r="BI105" s="130">
        <f>BI46/BI28</f>
        <v>1.6165853715939916E-2</v>
      </c>
      <c r="BJ105" s="130">
        <f>BJ46/BJ28</f>
        <v>1.2577483061842296E-2</v>
      </c>
      <c r="BK105" s="130"/>
      <c r="BL105" s="130" t="e">
        <f>BL46/BL28</f>
        <v>#DIV/0!</v>
      </c>
      <c r="BM105" s="131"/>
      <c r="BN105" s="130">
        <f>BN46/BN28</f>
        <v>7.5914505765484558E-2</v>
      </c>
      <c r="BO105" s="130">
        <f>BO46/BO28</f>
        <v>3.2068478430228309E-2</v>
      </c>
      <c r="BP105" s="130">
        <f>BP46/BP28</f>
        <v>0</v>
      </c>
      <c r="BQ105" s="130">
        <f>BQ46/BQ28</f>
        <v>0</v>
      </c>
      <c r="BR105" s="130"/>
      <c r="BS105" s="130" t="e">
        <f t="shared" ref="BS105:BZ105" si="37">BS46/BS28</f>
        <v>#DIV/0!</v>
      </c>
      <c r="BT105" s="130"/>
      <c r="BU105" s="130">
        <f t="shared" si="37"/>
        <v>1.0054208269304784E-2</v>
      </c>
      <c r="BV105" s="130">
        <f t="shared" si="37"/>
        <v>7.0639947059598076E-3</v>
      </c>
      <c r="BW105" s="130" t="e">
        <f t="shared" si="37"/>
        <v>#DIV/0!</v>
      </c>
      <c r="BX105" s="131"/>
      <c r="BY105" s="130" t="e">
        <f t="shared" si="37"/>
        <v>#DIV/0!</v>
      </c>
      <c r="BZ105" s="130" t="e">
        <f t="shared" si="37"/>
        <v>#DIV/0!</v>
      </c>
      <c r="CA105" s="130"/>
      <c r="CB105" s="131"/>
      <c r="CC105" s="130">
        <f>CC46/CC28</f>
        <v>0</v>
      </c>
      <c r="CD105" s="130">
        <f>CD46/CD28</f>
        <v>0</v>
      </c>
      <c r="CE105" s="130">
        <f>CE46/CE28</f>
        <v>0</v>
      </c>
      <c r="CF105" s="130"/>
      <c r="CG105" s="130" t="e">
        <f t="shared" ref="CG105:CN105" si="38">CG46/CG28</f>
        <v>#DIV/0!</v>
      </c>
      <c r="CH105" s="131"/>
      <c r="CI105" s="130">
        <f t="shared" si="38"/>
        <v>0</v>
      </c>
      <c r="CJ105" s="130">
        <f t="shared" si="38"/>
        <v>0</v>
      </c>
      <c r="CK105" s="130" t="e">
        <f t="shared" si="38"/>
        <v>#DIV/0!</v>
      </c>
      <c r="CL105" s="131"/>
      <c r="CM105" s="130">
        <f t="shared" si="38"/>
        <v>3.896108461753451E-2</v>
      </c>
      <c r="CN105" s="130">
        <f t="shared" si="38"/>
        <v>3.6269492188215333E-2</v>
      </c>
      <c r="CO105" s="130"/>
      <c r="CP105" s="130"/>
      <c r="CQ105" s="130"/>
      <c r="CR105" s="130" t="e">
        <f t="shared" ref="CR105:CY105" si="39">CR46/CR28</f>
        <v>#DIV/0!</v>
      </c>
      <c r="CS105" s="131"/>
      <c r="CT105" s="130">
        <f t="shared" si="39"/>
        <v>7.8163079643713523E-2</v>
      </c>
      <c r="CU105" s="130">
        <f t="shared" si="39"/>
        <v>2.6224647650896261E-2</v>
      </c>
      <c r="CV105" s="130" t="e">
        <f t="shared" si="39"/>
        <v>#DIV/0!</v>
      </c>
      <c r="CW105" s="131"/>
      <c r="CX105" s="130">
        <f t="shared" si="39"/>
        <v>0</v>
      </c>
      <c r="CY105" s="130">
        <f t="shared" si="39"/>
        <v>0</v>
      </c>
      <c r="CZ105" s="130"/>
      <c r="DA105" s="130"/>
      <c r="DB105" s="130" t="e">
        <f t="shared" ref="DB105:DI105" si="40">DB46/DB28</f>
        <v>#DIV/0!</v>
      </c>
      <c r="DC105" s="131"/>
      <c r="DD105" s="130">
        <f t="shared" si="40"/>
        <v>0</v>
      </c>
      <c r="DE105" s="130">
        <f t="shared" si="40"/>
        <v>0</v>
      </c>
      <c r="DF105" s="130" t="e">
        <f t="shared" si="40"/>
        <v>#DIV/0!</v>
      </c>
      <c r="DG105" s="131"/>
      <c r="DH105" s="130">
        <f t="shared" si="40"/>
        <v>7.559333901725712E-3</v>
      </c>
      <c r="DI105" s="130">
        <f t="shared" si="40"/>
        <v>7.5572583490839092E-3</v>
      </c>
      <c r="DJ105" s="130"/>
      <c r="DK105" s="130"/>
      <c r="DL105" s="130"/>
      <c r="DM105" s="130" t="e">
        <f>DM46/DM28</f>
        <v>#DIV/0!</v>
      </c>
      <c r="DN105" s="131"/>
      <c r="DO105" s="130">
        <f>DO46/DO28</f>
        <v>1.5686834653872977E-2</v>
      </c>
      <c r="DP105" s="130">
        <f>DP46/DP28</f>
        <v>1.6341623106894073E-2</v>
      </c>
      <c r="DQ105" s="130"/>
      <c r="DR105" s="130"/>
      <c r="DS105" s="130"/>
      <c r="DT105" s="130" t="e">
        <f t="shared" ref="DT105:GE105" si="41">DT46/DT28</f>
        <v>#DIV/0!</v>
      </c>
      <c r="DU105" s="131"/>
      <c r="DV105" s="130">
        <f t="shared" si="41"/>
        <v>0</v>
      </c>
      <c r="DW105" s="130">
        <f t="shared" si="41"/>
        <v>0</v>
      </c>
      <c r="DX105" s="130" t="e">
        <f t="shared" si="41"/>
        <v>#DIV/0!</v>
      </c>
      <c r="DY105" s="131"/>
      <c r="DZ105" s="130">
        <f t="shared" si="41"/>
        <v>1.1387140804454134E-2</v>
      </c>
      <c r="EA105" s="130">
        <f t="shared" si="41"/>
        <v>1.3374300501185789E-2</v>
      </c>
      <c r="EB105" s="130" t="e">
        <f t="shared" si="41"/>
        <v>#DIV/0!</v>
      </c>
      <c r="EC105" s="131"/>
      <c r="ED105" s="130">
        <f t="shared" si="41"/>
        <v>0</v>
      </c>
      <c r="EE105" s="130">
        <f t="shared" si="41"/>
        <v>0</v>
      </c>
      <c r="EF105" s="130" t="e">
        <f t="shared" si="41"/>
        <v>#DIV/0!</v>
      </c>
      <c r="EG105" s="131"/>
      <c r="EH105" s="130">
        <f t="shared" si="41"/>
        <v>1.4342574789270866E-2</v>
      </c>
      <c r="EI105" s="130">
        <f t="shared" si="41"/>
        <v>8.1798494407823198E-3</v>
      </c>
      <c r="EJ105" s="130" t="e">
        <f t="shared" si="41"/>
        <v>#DIV/0!</v>
      </c>
      <c r="EK105" s="131"/>
      <c r="EL105" s="130">
        <f t="shared" si="41"/>
        <v>4.1719406612323429E-2</v>
      </c>
      <c r="EM105" s="130">
        <f t="shared" si="41"/>
        <v>1.9463609761335876E-2</v>
      </c>
      <c r="EN105" s="130" t="e">
        <f t="shared" si="41"/>
        <v>#DIV/0!</v>
      </c>
      <c r="EO105" s="131"/>
      <c r="EP105" s="130">
        <f t="shared" si="41"/>
        <v>0</v>
      </c>
      <c r="EQ105" s="130">
        <f t="shared" si="41"/>
        <v>0</v>
      </c>
      <c r="ER105" s="130" t="e">
        <f t="shared" si="41"/>
        <v>#DIV/0!</v>
      </c>
      <c r="ES105" s="131"/>
      <c r="ET105" s="130">
        <f t="shared" si="41"/>
        <v>2.492848255348001E-2</v>
      </c>
      <c r="EU105" s="130">
        <f t="shared" si="41"/>
        <v>5.0725009579223643E-2</v>
      </c>
      <c r="EV105" s="130" t="e">
        <f t="shared" si="41"/>
        <v>#DIV/0!</v>
      </c>
      <c r="EW105" s="131"/>
      <c r="EX105" s="130">
        <f t="shared" si="41"/>
        <v>0</v>
      </c>
      <c r="EY105" s="130" t="e">
        <f t="shared" si="41"/>
        <v>#DIV/0!</v>
      </c>
      <c r="EZ105" s="130" t="e">
        <f t="shared" si="41"/>
        <v>#DIV/0!</v>
      </c>
      <c r="FA105" s="131"/>
      <c r="FB105" s="130">
        <f t="shared" si="41"/>
        <v>0</v>
      </c>
      <c r="FC105" s="130">
        <f t="shared" si="41"/>
        <v>0</v>
      </c>
      <c r="FD105" s="130" t="e">
        <f t="shared" si="41"/>
        <v>#DIV/0!</v>
      </c>
      <c r="FE105" s="131"/>
      <c r="FF105" s="130">
        <f t="shared" si="41"/>
        <v>1.1327869423656897E-2</v>
      </c>
      <c r="FG105" s="130">
        <f t="shared" si="41"/>
        <v>1.8437533636041094E-2</v>
      </c>
      <c r="FH105" s="130" t="e">
        <f t="shared" si="41"/>
        <v>#DIV/0!</v>
      </c>
      <c r="FI105" s="131"/>
      <c r="FJ105" s="130">
        <f t="shared" si="41"/>
        <v>0</v>
      </c>
      <c r="FK105" s="130">
        <f t="shared" si="41"/>
        <v>0</v>
      </c>
      <c r="FL105" s="130" t="e">
        <f t="shared" si="41"/>
        <v>#DIV/0!</v>
      </c>
      <c r="FM105" s="131"/>
      <c r="FN105" s="130">
        <f t="shared" si="41"/>
        <v>0</v>
      </c>
      <c r="FO105" s="130">
        <f t="shared" si="41"/>
        <v>0</v>
      </c>
      <c r="FP105" s="130" t="e">
        <f t="shared" si="41"/>
        <v>#DIV/0!</v>
      </c>
      <c r="FQ105" s="131"/>
      <c r="FR105" s="130">
        <f t="shared" si="41"/>
        <v>3.6381446516482403E-2</v>
      </c>
      <c r="FS105" s="130">
        <f t="shared" si="41"/>
        <v>2.5685492445230457E-3</v>
      </c>
      <c r="FT105" s="130" t="e">
        <f t="shared" si="41"/>
        <v>#DIV/0!</v>
      </c>
      <c r="FU105" s="131"/>
      <c r="FV105" s="130">
        <f t="shared" si="41"/>
        <v>0</v>
      </c>
      <c r="FW105" s="130">
        <f t="shared" si="41"/>
        <v>0</v>
      </c>
      <c r="FX105" s="130" t="e">
        <f t="shared" si="41"/>
        <v>#DIV/0!</v>
      </c>
      <c r="FY105" s="131"/>
      <c r="FZ105" s="130">
        <f t="shared" si="41"/>
        <v>0</v>
      </c>
      <c r="GA105" s="130">
        <f t="shared" si="41"/>
        <v>0</v>
      </c>
      <c r="GB105" s="130" t="e">
        <f t="shared" si="41"/>
        <v>#DIV/0!</v>
      </c>
      <c r="GC105" s="131"/>
      <c r="GD105" s="130">
        <f t="shared" si="41"/>
        <v>0</v>
      </c>
      <c r="GE105" s="130">
        <f t="shared" si="41"/>
        <v>0</v>
      </c>
      <c r="GF105" s="130" t="e">
        <f t="shared" ref="GF105:GZ105" si="42">GF46/GF28</f>
        <v>#DIV/0!</v>
      </c>
      <c r="GG105" s="131"/>
      <c r="GH105" s="130">
        <f t="shared" si="42"/>
        <v>0</v>
      </c>
      <c r="GI105" s="130">
        <f t="shared" si="42"/>
        <v>0</v>
      </c>
      <c r="GJ105" s="130" t="e">
        <f t="shared" si="42"/>
        <v>#DIV/0!</v>
      </c>
      <c r="GK105" s="131"/>
      <c r="GL105" s="130">
        <f t="shared" si="42"/>
        <v>3.1129542581929633E-2</v>
      </c>
      <c r="GM105" s="130">
        <f t="shared" si="42"/>
        <v>1.4933073584269483E-2</v>
      </c>
      <c r="GN105" s="130" t="e">
        <f t="shared" si="42"/>
        <v>#DIV/0!</v>
      </c>
      <c r="GO105" s="131"/>
      <c r="GP105" s="130">
        <f t="shared" si="42"/>
        <v>3.0834472286110321E-2</v>
      </c>
      <c r="GQ105" s="130">
        <f t="shared" si="42"/>
        <v>2.6633084605107282E-2</v>
      </c>
      <c r="GR105" s="130" t="e">
        <f t="shared" si="42"/>
        <v>#DIV/0!</v>
      </c>
      <c r="GS105" s="131"/>
      <c r="GT105" s="130">
        <f t="shared" si="42"/>
        <v>0</v>
      </c>
      <c r="GU105" s="130" t="e">
        <f t="shared" si="42"/>
        <v>#DIV/0!</v>
      </c>
      <c r="GV105" s="130" t="e">
        <f t="shared" si="42"/>
        <v>#DIV/0!</v>
      </c>
      <c r="GW105" s="131"/>
      <c r="GX105" s="130">
        <f t="shared" si="42"/>
        <v>2.2967915615742164E-2</v>
      </c>
      <c r="GY105" s="130">
        <f t="shared" si="42"/>
        <v>2.0879774343278919E-2</v>
      </c>
      <c r="GZ105" s="130" t="e">
        <f t="shared" si="42"/>
        <v>#DIV/0!</v>
      </c>
      <c r="HA105" s="131"/>
      <c r="HB105" s="130">
        <f>HB46/HB28</f>
        <v>0</v>
      </c>
      <c r="HC105" s="130" t="e">
        <f>HC46/HC28</f>
        <v>#DIV/0!</v>
      </c>
      <c r="HD105" s="130" t="e">
        <f>HD46/HD28</f>
        <v>#DIV/0!</v>
      </c>
      <c r="HE105" s="131"/>
      <c r="HF105" s="130">
        <f>HF46/HF28</f>
        <v>0</v>
      </c>
      <c r="HG105" s="130">
        <f>HG46/HG28</f>
        <v>0</v>
      </c>
      <c r="HH105" s="130">
        <f>HH46/HH28</f>
        <v>0</v>
      </c>
    </row>
    <row r="106" spans="1:256" x14ac:dyDescent="0.2">
      <c r="B106" s="166" t="s">
        <v>286</v>
      </c>
      <c r="C106" s="106"/>
      <c r="D106" s="107"/>
      <c r="E106" s="130">
        <f>E45/E28</f>
        <v>3.0398270849079636E-3</v>
      </c>
      <c r="F106" s="130">
        <f>F45/F28</f>
        <v>2.9048605026436988E-3</v>
      </c>
      <c r="G106" s="130">
        <f>G45/G28</f>
        <v>1.8060944489867721E-3</v>
      </c>
      <c r="H106" s="130">
        <f>H45/H28</f>
        <v>0</v>
      </c>
      <c r="I106" s="130"/>
      <c r="J106" s="130" t="e">
        <f>J45/J28</f>
        <v>#DIV/0!</v>
      </c>
      <c r="K106" s="131"/>
      <c r="L106" s="130">
        <f>L45/L28</f>
        <v>0</v>
      </c>
      <c r="M106" s="130">
        <f>M45/M28</f>
        <v>0</v>
      </c>
      <c r="N106" s="130"/>
      <c r="O106" s="131"/>
      <c r="P106" s="130">
        <f>P45/P28</f>
        <v>6.5981126751732139E-3</v>
      </c>
      <c r="Q106" s="130">
        <f>Q45/Q28</f>
        <v>3.8300612201815497E-3</v>
      </c>
      <c r="R106" s="130">
        <f>R45/R28</f>
        <v>3.7533924828665531E-3</v>
      </c>
      <c r="S106" s="130">
        <f>S45/S28</f>
        <v>4.2217656163210616E-3</v>
      </c>
      <c r="T106" s="130"/>
      <c r="U106" s="130"/>
      <c r="V106" s="131"/>
      <c r="W106" s="130">
        <f>W45/W28</f>
        <v>0</v>
      </c>
      <c r="X106" s="130">
        <f>X45/X28</f>
        <v>0</v>
      </c>
      <c r="Y106" s="130">
        <f>Y45/Y28</f>
        <v>0</v>
      </c>
      <c r="Z106" s="130">
        <f>Z45/Z28</f>
        <v>0</v>
      </c>
      <c r="AA106" s="130"/>
      <c r="AB106" s="130"/>
      <c r="AC106" s="131"/>
      <c r="AD106" s="130">
        <f>AD45/AD28</f>
        <v>2.5698199428123285E-2</v>
      </c>
      <c r="AE106" s="130">
        <f>AE45/AE28</f>
        <v>2.5662092917306034E-2</v>
      </c>
      <c r="AF106" s="130"/>
      <c r="AG106" s="131"/>
      <c r="AH106" s="130">
        <f>AH45/AH28</f>
        <v>0</v>
      </c>
      <c r="AI106" s="130">
        <f>AI45/AI28</f>
        <v>0</v>
      </c>
      <c r="AJ106" s="130"/>
      <c r="AK106" s="131"/>
      <c r="AL106" s="130">
        <f>AL45/AL28</f>
        <v>0</v>
      </c>
      <c r="AM106" s="130">
        <f>AM45/AM28</f>
        <v>0</v>
      </c>
      <c r="AN106" s="130"/>
      <c r="AO106" s="130"/>
      <c r="AP106" s="130"/>
      <c r="AQ106" s="131"/>
      <c r="AR106" s="130">
        <f>AR45/AR28</f>
        <v>0</v>
      </c>
      <c r="AS106" s="130">
        <f>AS45/AS28</f>
        <v>0</v>
      </c>
      <c r="AT106" s="130">
        <f>AT45/AT28</f>
        <v>0</v>
      </c>
      <c r="AU106" s="130">
        <f>AU45/AU28</f>
        <v>0</v>
      </c>
      <c r="AV106" s="130"/>
      <c r="AW106" s="130" t="e">
        <f>AW45/AW28</f>
        <v>#DIV/0!</v>
      </c>
      <c r="AX106" s="131"/>
      <c r="AY106" s="130">
        <f>AY45/AY28</f>
        <v>0</v>
      </c>
      <c r="AZ106" s="130">
        <f>AZ45/AZ28</f>
        <v>0</v>
      </c>
      <c r="BA106" s="130" t="e">
        <f>BA45/BA28</f>
        <v>#DIV/0!</v>
      </c>
      <c r="BB106" s="131"/>
      <c r="BC106" s="130">
        <f>BC45/BC28</f>
        <v>0</v>
      </c>
      <c r="BD106" s="130"/>
      <c r="BE106" s="130"/>
      <c r="BF106" s="131"/>
      <c r="BG106" s="130">
        <f>BG45/BG28</f>
        <v>1.0969295293325739E-2</v>
      </c>
      <c r="BH106" s="130">
        <f>BH45/BH28</f>
        <v>8.4035446999379711E-3</v>
      </c>
      <c r="BI106" s="130">
        <f>BI45/BI28</f>
        <v>4.2746106368081339E-3</v>
      </c>
      <c r="BJ106" s="130">
        <f>BJ45/BJ28</f>
        <v>3.9282110422372779E-3</v>
      </c>
      <c r="BK106" s="130"/>
      <c r="BL106" s="130" t="e">
        <f>BL45/BL28</f>
        <v>#DIV/0!</v>
      </c>
      <c r="BM106" s="131"/>
      <c r="BN106" s="130">
        <f>BN45/BN28</f>
        <v>0</v>
      </c>
      <c r="BO106" s="130">
        <f>BO45/BO28</f>
        <v>0</v>
      </c>
      <c r="BP106" s="130">
        <f>BP45/BP28</f>
        <v>0</v>
      </c>
      <c r="BQ106" s="130">
        <f>BQ45/BQ28</f>
        <v>0</v>
      </c>
      <c r="BR106" s="130"/>
      <c r="BS106" s="130" t="e">
        <f t="shared" ref="BS106:BZ106" si="43">BS45/BS28</f>
        <v>#DIV/0!</v>
      </c>
      <c r="BT106" s="130"/>
      <c r="BU106" s="130">
        <f t="shared" si="43"/>
        <v>0</v>
      </c>
      <c r="BV106" s="130">
        <f t="shared" si="43"/>
        <v>0</v>
      </c>
      <c r="BW106" s="130" t="e">
        <f t="shared" si="43"/>
        <v>#DIV/0!</v>
      </c>
      <c r="BX106" s="131"/>
      <c r="BY106" s="130" t="e">
        <f t="shared" si="43"/>
        <v>#DIV/0!</v>
      </c>
      <c r="BZ106" s="130" t="e">
        <f t="shared" si="43"/>
        <v>#DIV/0!</v>
      </c>
      <c r="CA106" s="130"/>
      <c r="CB106" s="131"/>
      <c r="CC106" s="130">
        <f>CC45/CC28</f>
        <v>0</v>
      </c>
      <c r="CD106" s="130">
        <f>CD45/CD28</f>
        <v>0</v>
      </c>
      <c r="CE106" s="130">
        <f>CE45/CE28</f>
        <v>0</v>
      </c>
      <c r="CF106" s="130"/>
      <c r="CG106" s="130" t="e">
        <f t="shared" ref="CG106:CN106" si="44">CG45/CG28</f>
        <v>#DIV/0!</v>
      </c>
      <c r="CH106" s="131"/>
      <c r="CI106" s="130">
        <f t="shared" si="44"/>
        <v>8.8331898338594988E-3</v>
      </c>
      <c r="CJ106" s="130">
        <f t="shared" si="44"/>
        <v>2.5928903692643428E-2</v>
      </c>
      <c r="CK106" s="130" t="e">
        <f t="shared" si="44"/>
        <v>#DIV/0!</v>
      </c>
      <c r="CL106" s="131"/>
      <c r="CM106" s="130">
        <f t="shared" si="44"/>
        <v>3.896108461753451E-2</v>
      </c>
      <c r="CN106" s="130">
        <f t="shared" si="44"/>
        <v>3.6269492188215333E-2</v>
      </c>
      <c r="CO106" s="130"/>
      <c r="CP106" s="130"/>
      <c r="CQ106" s="130"/>
      <c r="CR106" s="130" t="e">
        <f t="shared" ref="CR106:CY106" si="45">CR45/CR28</f>
        <v>#DIV/0!</v>
      </c>
      <c r="CS106" s="131"/>
      <c r="CT106" s="130">
        <f t="shared" si="45"/>
        <v>2.5216559055458991E-2</v>
      </c>
      <c r="CU106" s="130">
        <f t="shared" si="45"/>
        <v>2.6224647650896261E-2</v>
      </c>
      <c r="CV106" s="130" t="e">
        <f t="shared" si="45"/>
        <v>#DIV/0!</v>
      </c>
      <c r="CW106" s="131"/>
      <c r="CX106" s="130">
        <f t="shared" si="45"/>
        <v>0</v>
      </c>
      <c r="CY106" s="130">
        <f t="shared" si="45"/>
        <v>0</v>
      </c>
      <c r="CZ106" s="130"/>
      <c r="DA106" s="130"/>
      <c r="DB106" s="130" t="e">
        <f t="shared" ref="DB106:DI106" si="46">DB45/DB28</f>
        <v>#DIV/0!</v>
      </c>
      <c r="DC106" s="131"/>
      <c r="DD106" s="130">
        <f t="shared" si="46"/>
        <v>0</v>
      </c>
      <c r="DE106" s="130">
        <f t="shared" si="46"/>
        <v>0</v>
      </c>
      <c r="DF106" s="130" t="e">
        <f t="shared" si="46"/>
        <v>#DIV/0!</v>
      </c>
      <c r="DG106" s="131"/>
      <c r="DH106" s="130">
        <f t="shared" si="46"/>
        <v>7.559333901725712E-3</v>
      </c>
      <c r="DI106" s="130">
        <f t="shared" si="46"/>
        <v>7.5572583490839092E-3</v>
      </c>
      <c r="DJ106" s="130"/>
      <c r="DK106" s="130"/>
      <c r="DL106" s="130"/>
      <c r="DM106" s="130" t="e">
        <f>DM45/DM28</f>
        <v>#DIV/0!</v>
      </c>
      <c r="DN106" s="131"/>
      <c r="DO106" s="130">
        <f>DO45/DO28</f>
        <v>1.3388843610576641E-2</v>
      </c>
      <c r="DP106" s="130">
        <f>DP45/DP28</f>
        <v>1.5617117648952955E-2</v>
      </c>
      <c r="DQ106" s="130"/>
      <c r="DR106" s="130"/>
      <c r="DS106" s="130"/>
      <c r="DT106" s="130" t="e">
        <f t="shared" ref="DT106:GE106" si="47">DT45/DT28</f>
        <v>#DIV/0!</v>
      </c>
      <c r="DU106" s="131"/>
      <c r="DV106" s="130">
        <f t="shared" si="47"/>
        <v>0</v>
      </c>
      <c r="DW106" s="130">
        <f t="shared" si="47"/>
        <v>0</v>
      </c>
      <c r="DX106" s="130" t="e">
        <f t="shared" si="47"/>
        <v>#DIV/0!</v>
      </c>
      <c r="DY106" s="131"/>
      <c r="DZ106" s="130">
        <f t="shared" si="47"/>
        <v>9.4866194100989426E-3</v>
      </c>
      <c r="EA106" s="130">
        <f t="shared" si="47"/>
        <v>9.9138988515952656E-3</v>
      </c>
      <c r="EB106" s="130" t="e">
        <f t="shared" si="47"/>
        <v>#DIV/0!</v>
      </c>
      <c r="EC106" s="131"/>
      <c r="ED106" s="130">
        <f t="shared" si="47"/>
        <v>0</v>
      </c>
      <c r="EE106" s="130">
        <f t="shared" si="47"/>
        <v>0</v>
      </c>
      <c r="EF106" s="130" t="e">
        <f t="shared" si="47"/>
        <v>#DIV/0!</v>
      </c>
      <c r="EG106" s="131"/>
      <c r="EH106" s="130">
        <f t="shared" si="47"/>
        <v>1.4342574789270866E-2</v>
      </c>
      <c r="EI106" s="130">
        <f t="shared" si="47"/>
        <v>8.1798494407823198E-3</v>
      </c>
      <c r="EJ106" s="130" t="e">
        <f t="shared" si="47"/>
        <v>#DIV/0!</v>
      </c>
      <c r="EK106" s="131"/>
      <c r="EL106" s="130">
        <f t="shared" si="47"/>
        <v>4.1719406612323429E-2</v>
      </c>
      <c r="EM106" s="130">
        <f t="shared" si="47"/>
        <v>1.9463609761335876E-2</v>
      </c>
      <c r="EN106" s="130" t="e">
        <f t="shared" si="47"/>
        <v>#DIV/0!</v>
      </c>
      <c r="EO106" s="131"/>
      <c r="EP106" s="130">
        <f t="shared" si="47"/>
        <v>0</v>
      </c>
      <c r="EQ106" s="130">
        <f t="shared" si="47"/>
        <v>0</v>
      </c>
      <c r="ER106" s="130" t="e">
        <f t="shared" si="47"/>
        <v>#DIV/0!</v>
      </c>
      <c r="ES106" s="131"/>
      <c r="ET106" s="130">
        <f t="shared" si="47"/>
        <v>1.3817092673417191E-2</v>
      </c>
      <c r="EU106" s="130">
        <f t="shared" si="47"/>
        <v>1.5181121203630445E-2</v>
      </c>
      <c r="EV106" s="130" t="e">
        <f t="shared" si="47"/>
        <v>#DIV/0!</v>
      </c>
      <c r="EW106" s="131"/>
      <c r="EX106" s="130">
        <f t="shared" si="47"/>
        <v>0.62552340835668518</v>
      </c>
      <c r="EY106" s="130" t="e">
        <f t="shared" si="47"/>
        <v>#DIV/0!</v>
      </c>
      <c r="EZ106" s="130" t="e">
        <f t="shared" si="47"/>
        <v>#DIV/0!</v>
      </c>
      <c r="FA106" s="131"/>
      <c r="FB106" s="130">
        <f t="shared" si="47"/>
        <v>0</v>
      </c>
      <c r="FC106" s="130">
        <f t="shared" si="47"/>
        <v>0</v>
      </c>
      <c r="FD106" s="130" t="e">
        <f t="shared" si="47"/>
        <v>#DIV/0!</v>
      </c>
      <c r="FE106" s="131"/>
      <c r="FF106" s="130">
        <f t="shared" si="47"/>
        <v>7.6461182883535098E-3</v>
      </c>
      <c r="FG106" s="130">
        <f t="shared" si="47"/>
        <v>1.5324082010149613E-2</v>
      </c>
      <c r="FH106" s="130" t="e">
        <f t="shared" si="47"/>
        <v>#DIV/0!</v>
      </c>
      <c r="FI106" s="131"/>
      <c r="FJ106" s="130">
        <f t="shared" si="47"/>
        <v>0</v>
      </c>
      <c r="FK106" s="130">
        <f t="shared" si="47"/>
        <v>0</v>
      </c>
      <c r="FL106" s="130" t="e">
        <f t="shared" si="47"/>
        <v>#DIV/0!</v>
      </c>
      <c r="FM106" s="131"/>
      <c r="FN106" s="130">
        <f t="shared" si="47"/>
        <v>0</v>
      </c>
      <c r="FO106" s="130">
        <f t="shared" si="47"/>
        <v>0</v>
      </c>
      <c r="FP106" s="130" t="e">
        <f t="shared" si="47"/>
        <v>#DIV/0!</v>
      </c>
      <c r="FQ106" s="131"/>
      <c r="FR106" s="130">
        <f t="shared" si="47"/>
        <v>3.6381446516482403E-2</v>
      </c>
      <c r="FS106" s="130">
        <f t="shared" si="47"/>
        <v>2.5685492445230457E-3</v>
      </c>
      <c r="FT106" s="130" t="e">
        <f t="shared" si="47"/>
        <v>#DIV/0!</v>
      </c>
      <c r="FU106" s="131"/>
      <c r="FV106" s="130">
        <f t="shared" si="47"/>
        <v>0</v>
      </c>
      <c r="FW106" s="130">
        <f t="shared" si="47"/>
        <v>0</v>
      </c>
      <c r="FX106" s="130" t="e">
        <f t="shared" si="47"/>
        <v>#DIV/0!</v>
      </c>
      <c r="FY106" s="131"/>
      <c r="FZ106" s="130">
        <f t="shared" si="47"/>
        <v>0</v>
      </c>
      <c r="GA106" s="130">
        <f t="shared" si="47"/>
        <v>0</v>
      </c>
      <c r="GB106" s="130" t="e">
        <f t="shared" si="47"/>
        <v>#DIV/0!</v>
      </c>
      <c r="GC106" s="131"/>
      <c r="GD106" s="130">
        <f t="shared" si="47"/>
        <v>0</v>
      </c>
      <c r="GE106" s="130">
        <f t="shared" si="47"/>
        <v>0</v>
      </c>
      <c r="GF106" s="130" t="e">
        <f t="shared" ref="GF106:GZ106" si="48">GF45/GF28</f>
        <v>#DIV/0!</v>
      </c>
      <c r="GG106" s="131"/>
      <c r="GH106" s="130">
        <f t="shared" si="48"/>
        <v>0</v>
      </c>
      <c r="GI106" s="130">
        <f t="shared" si="48"/>
        <v>0</v>
      </c>
      <c r="GJ106" s="130" t="e">
        <f t="shared" si="48"/>
        <v>#DIV/0!</v>
      </c>
      <c r="GK106" s="131"/>
      <c r="GL106" s="130">
        <f t="shared" si="48"/>
        <v>7.8127264766559602E-3</v>
      </c>
      <c r="GM106" s="130">
        <f t="shared" si="48"/>
        <v>5.0299621258748243E-3</v>
      </c>
      <c r="GN106" s="130" t="e">
        <f t="shared" si="48"/>
        <v>#DIV/0!</v>
      </c>
      <c r="GO106" s="131"/>
      <c r="GP106" s="130">
        <f t="shared" si="48"/>
        <v>3.0834472286110321E-2</v>
      </c>
      <c r="GQ106" s="130">
        <f t="shared" si="48"/>
        <v>2.6633084605107282E-2</v>
      </c>
      <c r="GR106" s="130" t="e">
        <f t="shared" si="48"/>
        <v>#DIV/0!</v>
      </c>
      <c r="GS106" s="131"/>
      <c r="GT106" s="130">
        <f t="shared" si="48"/>
        <v>0</v>
      </c>
      <c r="GU106" s="130" t="e">
        <f t="shared" si="48"/>
        <v>#DIV/0!</v>
      </c>
      <c r="GV106" s="130" t="e">
        <f t="shared" si="48"/>
        <v>#DIV/0!</v>
      </c>
      <c r="GW106" s="131"/>
      <c r="GX106" s="130">
        <f t="shared" si="48"/>
        <v>2.0100774936075934E-2</v>
      </c>
      <c r="GY106" s="130">
        <f t="shared" si="48"/>
        <v>1.276161502579541E-2</v>
      </c>
      <c r="GZ106" s="130" t="e">
        <f t="shared" si="48"/>
        <v>#DIV/0!</v>
      </c>
      <c r="HA106" s="131"/>
      <c r="HB106" s="130">
        <f>HB45/HB28</f>
        <v>0</v>
      </c>
      <c r="HC106" s="130" t="e">
        <f>HC45/HC28</f>
        <v>#DIV/0!</v>
      </c>
      <c r="HD106" s="130" t="e">
        <f>HD45/HD28</f>
        <v>#DIV/0!</v>
      </c>
      <c r="HE106" s="131"/>
      <c r="HF106" s="130">
        <f>HF45/HF28</f>
        <v>0</v>
      </c>
      <c r="HG106" s="130">
        <f>HG45/HG28</f>
        <v>0</v>
      </c>
      <c r="HH106" s="130">
        <f>HH45/HH28</f>
        <v>5.9383465138551823E-4</v>
      </c>
    </row>
    <row r="107" spans="1:256" x14ac:dyDescent="0.2">
      <c r="B107" s="165" t="s">
        <v>7</v>
      </c>
      <c r="C107" s="106"/>
      <c r="D107" s="107"/>
      <c r="E107" s="130">
        <f>E115/E121</f>
        <v>1.5164198579314962E-3</v>
      </c>
      <c r="F107" s="130">
        <f>F115/F121</f>
        <v>1.6669536347858557E-3</v>
      </c>
      <c r="G107" s="130">
        <f>G115/G121</f>
        <v>7.9868834789886909E-4</v>
      </c>
      <c r="H107" s="130">
        <f>H115/H121</f>
        <v>1.1121279274416945E-3</v>
      </c>
      <c r="I107" s="130"/>
      <c r="J107" s="114"/>
      <c r="K107" s="108"/>
      <c r="L107" s="130">
        <f>L115/L121</f>
        <v>0</v>
      </c>
      <c r="M107" s="120"/>
      <c r="N107" s="106"/>
      <c r="O107" s="107"/>
      <c r="P107" s="130">
        <f>P115/P121</f>
        <v>1.1465707322734149E-4</v>
      </c>
      <c r="Q107" s="130">
        <f>Q115/Q121</f>
        <v>4.0366259322563549E-3</v>
      </c>
      <c r="R107" s="130">
        <f>R115/R121</f>
        <v>-6.0048997151411982E-3</v>
      </c>
      <c r="S107" s="130">
        <f>S115/S121</f>
        <v>2.1014734493573505E-2</v>
      </c>
      <c r="T107" s="120"/>
      <c r="U107" s="114"/>
      <c r="V107" s="108"/>
      <c r="W107" s="130">
        <f>W115/W121</f>
        <v>3.960109880892535E-3</v>
      </c>
      <c r="X107" s="130">
        <f>X115/X121</f>
        <v>3.0495256948363036E-2</v>
      </c>
      <c r="Y107" s="130">
        <f>Y115/Y121</f>
        <v>1.4623488024552607E-2</v>
      </c>
      <c r="Z107" s="130">
        <f>Z115/Z121</f>
        <v>1.0064659230422626E-2</v>
      </c>
      <c r="AA107" s="120"/>
      <c r="AB107" s="114"/>
      <c r="AC107" s="108"/>
      <c r="AD107" s="130">
        <f>AD115/AD121</f>
        <v>2.2890133989215977E-2</v>
      </c>
      <c r="AE107" s="120"/>
      <c r="AF107" s="114"/>
      <c r="AG107" s="108"/>
      <c r="AH107" s="130">
        <f>AH115/AH121</f>
        <v>9.0077803335635726E-3</v>
      </c>
      <c r="AI107" s="120"/>
      <c r="AJ107" s="114"/>
      <c r="AK107" s="108"/>
      <c r="AL107" s="130">
        <f>AL115/AL121</f>
        <v>1.191905098780551E-2</v>
      </c>
      <c r="AM107" s="120"/>
      <c r="AN107" s="120"/>
      <c r="AO107" s="120"/>
      <c r="AP107" s="114"/>
      <c r="AQ107" s="108"/>
      <c r="AR107" s="130">
        <f>AR115/AR121</f>
        <v>2.5096493383697988E-2</v>
      </c>
      <c r="AS107" s="130">
        <f>AS115/AS121</f>
        <v>2.154790396140133E-2</v>
      </c>
      <c r="AT107" s="130">
        <f>AT115/AT121</f>
        <v>3.4566816036568637E-2</v>
      </c>
      <c r="AU107" s="130">
        <f>AU115/AU121</f>
        <v>2.0549900181928975E-2</v>
      </c>
      <c r="AV107" s="120"/>
      <c r="AW107" s="114"/>
      <c r="AX107" s="108"/>
      <c r="AY107" s="130">
        <f>AY115/AY121</f>
        <v>0</v>
      </c>
      <c r="AZ107" s="120"/>
      <c r="BA107" s="119"/>
      <c r="BB107" s="26"/>
      <c r="BC107" s="130">
        <f>BC115/BC121</f>
        <v>3.6970271586517535E-3</v>
      </c>
      <c r="BD107" s="110"/>
      <c r="BE107" s="119"/>
      <c r="BF107" s="26"/>
      <c r="BG107" s="130">
        <f>BG115/BG121</f>
        <v>1.183180898261434E-2</v>
      </c>
      <c r="BH107" s="130">
        <f>BH115/BH121</f>
        <v>2.8295932838023341E-2</v>
      </c>
      <c r="BI107" s="130">
        <f>BI115/BI121</f>
        <v>1.777360558442509E-2</v>
      </c>
      <c r="BJ107" s="130">
        <f>BJ115/BJ121</f>
        <v>0</v>
      </c>
      <c r="BK107" s="110"/>
      <c r="BL107" s="119"/>
      <c r="BM107" s="26"/>
      <c r="BN107" s="130">
        <f>BN115/BN121</f>
        <v>8.8024279795428248E-2</v>
      </c>
      <c r="BO107" s="130">
        <f>BO115/BO121</f>
        <v>5.447055614030915E-2</v>
      </c>
      <c r="BP107" s="130">
        <f>BP115/BP121</f>
        <v>5.3440150515834235E-2</v>
      </c>
      <c r="BQ107" s="130">
        <f>BQ115/BQ121</f>
        <v>5.1966723746522808E-2</v>
      </c>
      <c r="BR107" s="110"/>
      <c r="BS107" s="114"/>
      <c r="BT107" s="130"/>
      <c r="BU107" s="130">
        <f>BU115/BU121</f>
        <v>5.873980100835092E-3</v>
      </c>
      <c r="BV107" s="110"/>
      <c r="BY107" s="130" t="e">
        <f>BY115/BY121</f>
        <v>#DIV/0!</v>
      </c>
      <c r="BZ107" s="120"/>
      <c r="CA107" s="109"/>
      <c r="CB107" s="110"/>
      <c r="CC107" s="130">
        <f>CC115/CC121</f>
        <v>0</v>
      </c>
      <c r="CD107" s="130">
        <f>CD115/CD121</f>
        <v>0</v>
      </c>
      <c r="CE107" s="130">
        <f>CE115/CE121</f>
        <v>0</v>
      </c>
      <c r="CF107" s="120"/>
      <c r="CG107" s="114"/>
      <c r="CH107" s="108"/>
      <c r="CI107" s="130">
        <f>CI115/CI121</f>
        <v>2.245221726977412E-2</v>
      </c>
      <c r="CJ107" s="120"/>
      <c r="CK107" s="114"/>
      <c r="CL107" s="108"/>
      <c r="CM107" s="130">
        <f>CM115/CM121</f>
        <v>1.5900072514363421E-2</v>
      </c>
      <c r="CN107" s="120"/>
      <c r="CO107" s="120"/>
      <c r="CP107" s="120"/>
      <c r="CQ107" s="120"/>
      <c r="CR107" s="114"/>
      <c r="CS107" s="108"/>
      <c r="CT107" s="130">
        <f>CT115/CT121</f>
        <v>4.3461721974650258E-2</v>
      </c>
      <c r="CU107" s="120"/>
      <c r="CV107" s="114"/>
      <c r="CW107" s="108"/>
      <c r="CX107" s="130">
        <f>CX115/CX121</f>
        <v>2.8082914613206729E-2</v>
      </c>
      <c r="CY107" s="120"/>
      <c r="CZ107" s="120"/>
      <c r="DA107" s="120"/>
      <c r="DB107" s="114"/>
      <c r="DC107" s="108"/>
      <c r="DD107" s="130">
        <f>DD115/DD121</f>
        <v>0</v>
      </c>
      <c r="DE107" s="120"/>
      <c r="DF107" s="114"/>
      <c r="DG107" s="108"/>
      <c r="DH107" s="130">
        <f>DH115/DH121</f>
        <v>1.7102846003966864E-3</v>
      </c>
      <c r="DI107" s="120"/>
      <c r="DJ107" s="120"/>
      <c r="DK107" s="120"/>
      <c r="DL107" s="120"/>
      <c r="DO107" s="130">
        <f>DO115/DO121</f>
        <v>2.2513478867398108E-2</v>
      </c>
      <c r="DP107" s="120"/>
      <c r="DQ107" s="120"/>
      <c r="DR107" s="120"/>
      <c r="DS107" s="120"/>
      <c r="DT107" s="114"/>
      <c r="DU107" s="108"/>
      <c r="DV107" s="130">
        <f>DV115/DV121</f>
        <v>4.2407889062243805E-2</v>
      </c>
      <c r="DW107" s="120"/>
      <c r="DX107" s="114"/>
      <c r="DY107" s="108"/>
      <c r="DZ107" s="130">
        <f>DZ115/DZ121</f>
        <v>4.4012434643796571E-3</v>
      </c>
      <c r="EA107" s="120"/>
      <c r="ED107" s="130">
        <f>ED115/ED121</f>
        <v>0</v>
      </c>
      <c r="EE107" s="120"/>
      <c r="EH107" s="130">
        <f>EH115/EH121</f>
        <v>9.3587793344114129E-3</v>
      </c>
      <c r="EI107" s="120"/>
      <c r="EL107" s="130">
        <f>EL115/EL121</f>
        <v>7.8617868171098754E-2</v>
      </c>
      <c r="EM107" s="120"/>
      <c r="EP107" s="130">
        <f>EP115/EP121</f>
        <v>9.5797418132416625E-3</v>
      </c>
      <c r="EQ107" s="120"/>
      <c r="ET107" s="130">
        <f>ET115/ET121</f>
        <v>3.8682560867451402E-3</v>
      </c>
      <c r="EU107" s="120"/>
      <c r="EX107" s="130">
        <f>EX115/EX121</f>
        <v>0</v>
      </c>
      <c r="EY107" s="120"/>
      <c r="FB107" s="130">
        <f>FB115/FB121</f>
        <v>0</v>
      </c>
      <c r="FC107" s="120"/>
      <c r="FF107" s="130">
        <f>FF115/FF121</f>
        <v>4.9258761696009809E-3</v>
      </c>
      <c r="FG107" s="120"/>
      <c r="FJ107" s="130">
        <f>FJ115/FJ121</f>
        <v>1.6745905237597853E-2</v>
      </c>
      <c r="FK107" s="120"/>
      <c r="FN107" s="130">
        <f>FN115/FN121</f>
        <v>0</v>
      </c>
      <c r="FO107" s="120"/>
      <c r="FR107" s="130">
        <f>FR115/FR121</f>
        <v>0</v>
      </c>
      <c r="FS107" s="120"/>
      <c r="FV107" s="130">
        <f>FV115/FV121</f>
        <v>1.04670407556761E-2</v>
      </c>
      <c r="FW107" s="120"/>
      <c r="FZ107" s="130">
        <f>FZ115/FZ121</f>
        <v>1.0569587254070888E-2</v>
      </c>
      <c r="GA107" s="120"/>
      <c r="GD107" s="130">
        <f>GD115/GD121</f>
        <v>0</v>
      </c>
      <c r="GE107" s="120"/>
      <c r="GH107" s="130">
        <f>GH115/GH121</f>
        <v>3.9678321582095636E-3</v>
      </c>
      <c r="GI107" s="120"/>
      <c r="GL107" s="130">
        <f>GL115/GL121</f>
        <v>4.7014054700633044E-2</v>
      </c>
      <c r="GM107" s="120"/>
      <c r="GP107" s="130">
        <f>GP115/GP121</f>
        <v>9.9548013574483011E-3</v>
      </c>
      <c r="GQ107" s="120"/>
      <c r="GT107" s="130">
        <f>GT115/GT121</f>
        <v>0</v>
      </c>
      <c r="GU107" s="120"/>
      <c r="GX107" s="130">
        <f>GX115/GX121</f>
        <v>1.251896316021032E-2</v>
      </c>
      <c r="GY107" s="120"/>
      <c r="HB107" s="130">
        <f>HB115/HB121</f>
        <v>0</v>
      </c>
      <c r="HC107" s="120"/>
      <c r="HF107" s="130">
        <f>HF115/HF121</f>
        <v>0</v>
      </c>
      <c r="HG107" s="130">
        <f>HG115/HG121</f>
        <v>0</v>
      </c>
      <c r="HH107" s="120"/>
    </row>
    <row r="108" spans="1:256" x14ac:dyDescent="0.2">
      <c r="B108" s="166" t="s">
        <v>287</v>
      </c>
      <c r="C108" s="117"/>
      <c r="D108" s="118"/>
      <c r="E108" s="130">
        <f>E116/E121/E$142</f>
        <v>7.1102678094348232E-4</v>
      </c>
      <c r="F108" s="130">
        <f>F116/F121/F$142</f>
        <v>5.6883768380114815E-5</v>
      </c>
      <c r="G108" s="130">
        <f>G116/G121/G$142</f>
        <v>-1.1038338895658329E-3</v>
      </c>
      <c r="H108" s="130">
        <f>H116/H121/H$142</f>
        <v>1.1121279274416945E-3</v>
      </c>
      <c r="I108" s="130"/>
      <c r="J108" s="130" t="e">
        <f>J116/J121/J$142</f>
        <v>#DIV/0!</v>
      </c>
      <c r="K108" s="131"/>
      <c r="L108" s="130">
        <f>L116/L121/L$142</f>
        <v>0</v>
      </c>
      <c r="M108" s="130" t="e">
        <f>M116/M121/M$142</f>
        <v>#DIV/0!</v>
      </c>
      <c r="N108" s="130"/>
      <c r="O108" s="131"/>
      <c r="P108" s="130">
        <f>P116/P121/P$142</f>
        <v>7.8071586067408275E-4</v>
      </c>
      <c r="Q108" s="130">
        <f>Q116/Q121/Q$142</f>
        <v>5.1763078029832439E-3</v>
      </c>
      <c r="R108" s="130">
        <f>R116/R121/R$142</f>
        <v>8.5315690827613266E-3</v>
      </c>
      <c r="S108" s="130">
        <f>S116/S121/S$142</f>
        <v>3.6261269628400429E-3</v>
      </c>
      <c r="T108" s="130"/>
      <c r="U108" s="130"/>
      <c r="V108" s="131"/>
      <c r="W108" s="130">
        <f>W116/W121/W$142</f>
        <v>2.4694838638927913E-3</v>
      </c>
      <c r="X108" s="130">
        <f>X116/X121/X$142</f>
        <v>4.1632413935289055E-2</v>
      </c>
      <c r="Y108" s="130">
        <f>Y116/Y121/Y$142</f>
        <v>4.9195097037737972E-5</v>
      </c>
      <c r="Z108" s="130">
        <f>Z116/Z121/Z$142</f>
        <v>1.6084511199617468E-2</v>
      </c>
      <c r="AA108" s="130"/>
      <c r="AB108" s="130"/>
      <c r="AC108" s="131"/>
      <c r="AD108" s="130">
        <f>AD116/AD121/AD$142</f>
        <v>1.8402067981134765E-2</v>
      </c>
      <c r="AE108" s="130" t="e">
        <f>AE116/AE121/AE$142</f>
        <v>#DIV/0!</v>
      </c>
      <c r="AF108" s="130"/>
      <c r="AG108" s="131"/>
      <c r="AH108" s="130">
        <f>AH116/AH121/AH$142</f>
        <v>0</v>
      </c>
      <c r="AI108" s="130" t="e">
        <f>AI116/AI121/AI$142</f>
        <v>#DIV/0!</v>
      </c>
      <c r="AJ108" s="130"/>
      <c r="AK108" s="131"/>
      <c r="AL108" s="130">
        <f>AL116/AL121/AL$142</f>
        <v>1.191905098780551E-2</v>
      </c>
      <c r="AM108" s="130" t="e">
        <f>AM116/AM121/AM$142</f>
        <v>#DIV/0!</v>
      </c>
      <c r="AN108" s="130"/>
      <c r="AO108" s="130"/>
      <c r="AP108" s="130"/>
      <c r="AQ108" s="131"/>
      <c r="AR108" s="130">
        <f>AR116/AR121/AR$142</f>
        <v>1.012060015645074E-2</v>
      </c>
      <c r="AS108" s="130">
        <f>AS116/AS121/AS$142</f>
        <v>1.3002834283399245E-2</v>
      </c>
      <c r="AT108" s="130">
        <f>AT116/AT121/AT$142</f>
        <v>1.9956572500641121E-2</v>
      </c>
      <c r="AU108" s="130">
        <f>AU116/AU121/AU$142</f>
        <v>1.2906089137886698E-2</v>
      </c>
      <c r="AV108" s="130"/>
      <c r="AW108" s="130" t="e">
        <f>AW116/AW121/AW$142</f>
        <v>#DIV/0!</v>
      </c>
      <c r="AX108" s="131"/>
      <c r="AY108" s="130">
        <f>AY116/AY121/AY$142</f>
        <v>0</v>
      </c>
      <c r="AZ108" s="130" t="e">
        <f>AZ116/AZ121/AZ$142</f>
        <v>#DIV/0!</v>
      </c>
      <c r="BA108" s="130" t="e">
        <f>BA116/BA121/BA$142</f>
        <v>#DIV/0!</v>
      </c>
      <c r="BB108" s="131"/>
      <c r="BC108" s="130">
        <f>BC116/BC121/BC$142</f>
        <v>3.6970271586517535E-3</v>
      </c>
      <c r="BD108" s="130"/>
      <c r="BE108" s="130"/>
      <c r="BF108" s="131"/>
      <c r="BG108" s="130">
        <f>BG116/BG121/BG$142</f>
        <v>2.8508917699203905E-2</v>
      </c>
      <c r="BH108" s="130">
        <f>BH116/BH121/BH$142</f>
        <v>1.7132539566026114E-2</v>
      </c>
      <c r="BI108" s="130">
        <f>BI116/BI121/BI$142</f>
        <v>2.7476167551988184E-3</v>
      </c>
      <c r="BJ108" s="130">
        <f>BJ116/BJ121/BJ$142</f>
        <v>0</v>
      </c>
      <c r="BK108" s="130"/>
      <c r="BL108" s="130" t="e">
        <f>BL116/BL121/BL$142</f>
        <v>#DIV/0!</v>
      </c>
      <c r="BM108" s="131"/>
      <c r="BN108" s="130">
        <f>BN116/BN121/BN$142</f>
        <v>4.1427835347631774E-2</v>
      </c>
      <c r="BO108" s="130">
        <f>BO116/BO121/BO$142</f>
        <v>3.8749808599898697E-2</v>
      </c>
      <c r="BP108" s="130">
        <f>BP116/BP121/BP$142</f>
        <v>4.5031820484171828E-2</v>
      </c>
      <c r="BQ108" s="130">
        <f>BQ116/BQ121/BQ$142</f>
        <v>4.6415648525456786E-2</v>
      </c>
      <c r="BR108" s="130"/>
      <c r="BS108" s="130" t="e">
        <f t="shared" ref="BS108:BZ108" si="49">BS116/BS121/BS$142</f>
        <v>#DIV/0!</v>
      </c>
      <c r="BT108" s="130"/>
      <c r="BU108" s="130">
        <f t="shared" si="49"/>
        <v>0</v>
      </c>
      <c r="BV108" s="130" t="e">
        <f t="shared" si="49"/>
        <v>#DIV/0!</v>
      </c>
      <c r="BW108" s="130" t="e">
        <f t="shared" si="49"/>
        <v>#DIV/0!</v>
      </c>
      <c r="BX108" s="131"/>
      <c r="BY108" s="130" t="e">
        <f t="shared" si="49"/>
        <v>#DIV/0!</v>
      </c>
      <c r="BZ108" s="130" t="e">
        <f t="shared" si="49"/>
        <v>#DIV/0!</v>
      </c>
      <c r="CA108" s="130"/>
      <c r="CB108" s="131"/>
      <c r="CC108" s="130">
        <f>CC116/CC121/CC$142</f>
        <v>0</v>
      </c>
      <c r="CD108" s="130">
        <f>CD116/CD121/CD$142</f>
        <v>0</v>
      </c>
      <c r="CE108" s="130">
        <f>CE116/CE121/CE$142</f>
        <v>0</v>
      </c>
      <c r="CF108" s="130"/>
      <c r="CG108" s="130" t="e">
        <f t="shared" ref="CG108:CN108" si="50">CG116/CG121/CG$142</f>
        <v>#DIV/0!</v>
      </c>
      <c r="CH108" s="131"/>
      <c r="CI108" s="130">
        <f t="shared" si="50"/>
        <v>2.245221726977412E-2</v>
      </c>
      <c r="CJ108" s="130" t="e">
        <f t="shared" si="50"/>
        <v>#DIV/0!</v>
      </c>
      <c r="CK108" s="130" t="e">
        <f t="shared" si="50"/>
        <v>#DIV/0!</v>
      </c>
      <c r="CL108" s="131"/>
      <c r="CM108" s="130">
        <f t="shared" si="50"/>
        <v>9.4103255067830745E-3</v>
      </c>
      <c r="CN108" s="130" t="e">
        <f t="shared" si="50"/>
        <v>#DIV/0!</v>
      </c>
      <c r="CO108" s="130"/>
      <c r="CP108" s="130"/>
      <c r="CQ108" s="130"/>
      <c r="CR108" s="130" t="e">
        <f t="shared" ref="CR108:CY108" si="51">CR116/CR121/CR$142</f>
        <v>#DIV/0!</v>
      </c>
      <c r="CS108" s="131"/>
      <c r="CT108" s="130">
        <f t="shared" si="51"/>
        <v>2.6539156956569384E-4</v>
      </c>
      <c r="CU108" s="130" t="e">
        <f t="shared" si="51"/>
        <v>#DIV/0!</v>
      </c>
      <c r="CV108" s="130" t="e">
        <f t="shared" si="51"/>
        <v>#DIV/0!</v>
      </c>
      <c r="CW108" s="131"/>
      <c r="CX108" s="130">
        <f t="shared" si="51"/>
        <v>1.1150840935331642E-2</v>
      </c>
      <c r="CY108" s="130" t="e">
        <f t="shared" si="51"/>
        <v>#DIV/0!</v>
      </c>
      <c r="CZ108" s="130"/>
      <c r="DA108" s="130"/>
      <c r="DB108" s="130" t="e">
        <f t="shared" ref="DB108:DI108" si="52">DB116/DB121/DB$142</f>
        <v>#DIV/0!</v>
      </c>
      <c r="DC108" s="131"/>
      <c r="DD108" s="130">
        <f t="shared" si="52"/>
        <v>0</v>
      </c>
      <c r="DE108" s="130" t="e">
        <f t="shared" si="52"/>
        <v>#DIV/0!</v>
      </c>
      <c r="DF108" s="130" t="e">
        <f t="shared" si="52"/>
        <v>#DIV/0!</v>
      </c>
      <c r="DG108" s="131"/>
      <c r="DH108" s="130">
        <f t="shared" si="52"/>
        <v>3.7519063883346073E-5</v>
      </c>
      <c r="DI108" s="130" t="e">
        <f t="shared" si="52"/>
        <v>#DIV/0!</v>
      </c>
      <c r="DJ108" s="130"/>
      <c r="DK108" s="130"/>
      <c r="DL108" s="130"/>
      <c r="DM108" s="130" t="e">
        <f>DM116/DM121/DM$142</f>
        <v>#DIV/0!</v>
      </c>
      <c r="DN108" s="131"/>
      <c r="DO108" s="130">
        <f>DO116/DO121/DO$142</f>
        <v>1.7890133092033328E-2</v>
      </c>
      <c r="DP108" s="130" t="e">
        <f>DP116/DP121/DP$142</f>
        <v>#DIV/0!</v>
      </c>
      <c r="DQ108" s="130"/>
      <c r="DR108" s="130"/>
      <c r="DS108" s="130"/>
      <c r="DT108" s="130" t="e">
        <f t="shared" ref="DT108:GE108" si="53">DT116/DT121/DT$142</f>
        <v>#DIV/0!</v>
      </c>
      <c r="DU108" s="131"/>
      <c r="DV108" s="130">
        <f t="shared" si="53"/>
        <v>2.8629311718725962E-2</v>
      </c>
      <c r="DW108" s="130" t="e">
        <f t="shared" si="53"/>
        <v>#DIV/0!</v>
      </c>
      <c r="DX108" s="130" t="e">
        <f t="shared" si="53"/>
        <v>#DIV/0!</v>
      </c>
      <c r="DY108" s="131"/>
      <c r="DZ108" s="130">
        <f t="shared" si="53"/>
        <v>2.6497941562344486E-3</v>
      </c>
      <c r="EA108" s="130" t="e">
        <f t="shared" si="53"/>
        <v>#DIV/0!</v>
      </c>
      <c r="EB108" s="130" t="e">
        <f t="shared" si="53"/>
        <v>#DIV/0!</v>
      </c>
      <c r="EC108" s="131"/>
      <c r="ED108" s="130">
        <f t="shared" si="53"/>
        <v>0</v>
      </c>
      <c r="EE108" s="130" t="e">
        <f t="shared" si="53"/>
        <v>#DIV/0!</v>
      </c>
      <c r="EF108" s="130" t="e">
        <f t="shared" si="53"/>
        <v>#DIV/0!</v>
      </c>
      <c r="EG108" s="131"/>
      <c r="EH108" s="130">
        <f t="shared" si="53"/>
        <v>9.3587793344114129E-3</v>
      </c>
      <c r="EI108" s="130" t="e">
        <f t="shared" si="53"/>
        <v>#DIV/0!</v>
      </c>
      <c r="EJ108" s="130" t="e">
        <f t="shared" si="53"/>
        <v>#DIV/0!</v>
      </c>
      <c r="EK108" s="131"/>
      <c r="EL108" s="130">
        <f t="shared" si="53"/>
        <v>5.4566064285807354E-2</v>
      </c>
      <c r="EM108" s="130" t="e">
        <f t="shared" si="53"/>
        <v>#DIV/0!</v>
      </c>
      <c r="EN108" s="130" t="e">
        <f t="shared" si="53"/>
        <v>#DIV/0!</v>
      </c>
      <c r="EO108" s="131"/>
      <c r="EP108" s="130">
        <f t="shared" si="53"/>
        <v>3.2400872419619631E-3</v>
      </c>
      <c r="EQ108" s="130" t="e">
        <f t="shared" si="53"/>
        <v>#DIV/0!</v>
      </c>
      <c r="ER108" s="130" t="e">
        <f t="shared" si="53"/>
        <v>#DIV/0!</v>
      </c>
      <c r="ES108" s="131"/>
      <c r="ET108" s="130">
        <f t="shared" si="53"/>
        <v>0</v>
      </c>
      <c r="EU108" s="130" t="e">
        <f t="shared" si="53"/>
        <v>#DIV/0!</v>
      </c>
      <c r="EV108" s="130" t="e">
        <f t="shared" si="53"/>
        <v>#DIV/0!</v>
      </c>
      <c r="EW108" s="131"/>
      <c r="EX108" s="130">
        <f t="shared" si="53"/>
        <v>0</v>
      </c>
      <c r="EY108" s="130" t="e">
        <f t="shared" si="53"/>
        <v>#DIV/0!</v>
      </c>
      <c r="EZ108" s="130" t="e">
        <f t="shared" si="53"/>
        <v>#DIV/0!</v>
      </c>
      <c r="FA108" s="131"/>
      <c r="FB108" s="130">
        <f t="shared" si="53"/>
        <v>0</v>
      </c>
      <c r="FC108" s="130" t="e">
        <f t="shared" si="53"/>
        <v>#DIV/0!</v>
      </c>
      <c r="FD108" s="130" t="e">
        <f t="shared" si="53"/>
        <v>#DIV/0!</v>
      </c>
      <c r="FE108" s="131"/>
      <c r="FF108" s="130">
        <f t="shared" si="53"/>
        <v>1.1599770597154462E-2</v>
      </c>
      <c r="FG108" s="130" t="e">
        <f t="shared" si="53"/>
        <v>#DIV/0!</v>
      </c>
      <c r="FH108" s="130" t="e">
        <f t="shared" si="53"/>
        <v>#DIV/0!</v>
      </c>
      <c r="FI108" s="131"/>
      <c r="FJ108" s="130">
        <f t="shared" si="53"/>
        <v>9.7701379900643238E-3</v>
      </c>
      <c r="FK108" s="130" t="e">
        <f t="shared" si="53"/>
        <v>#DIV/0!</v>
      </c>
      <c r="FL108" s="130" t="e">
        <f t="shared" si="53"/>
        <v>#DIV/0!</v>
      </c>
      <c r="FM108" s="131"/>
      <c r="FN108" s="130">
        <f t="shared" si="53"/>
        <v>0</v>
      </c>
      <c r="FO108" s="130" t="e">
        <f t="shared" si="53"/>
        <v>#DIV/0!</v>
      </c>
      <c r="FP108" s="130" t="e">
        <f t="shared" si="53"/>
        <v>#DIV/0!</v>
      </c>
      <c r="FQ108" s="131"/>
      <c r="FR108" s="130">
        <f t="shared" si="53"/>
        <v>0</v>
      </c>
      <c r="FS108" s="130" t="e">
        <f t="shared" si="53"/>
        <v>#DIV/0!</v>
      </c>
      <c r="FT108" s="130" t="e">
        <f t="shared" si="53"/>
        <v>#DIV/0!</v>
      </c>
      <c r="FU108" s="131"/>
      <c r="FV108" s="130">
        <f t="shared" si="53"/>
        <v>1.04670407556761E-2</v>
      </c>
      <c r="FW108" s="130" t="e">
        <f t="shared" si="53"/>
        <v>#DIV/0!</v>
      </c>
      <c r="FX108" s="130" t="e">
        <f t="shared" si="53"/>
        <v>#DIV/0!</v>
      </c>
      <c r="FY108" s="131"/>
      <c r="FZ108" s="130">
        <f t="shared" si="53"/>
        <v>0</v>
      </c>
      <c r="GA108" s="130" t="e">
        <f t="shared" si="53"/>
        <v>#DIV/0!</v>
      </c>
      <c r="GB108" s="130" t="e">
        <f t="shared" si="53"/>
        <v>#DIV/0!</v>
      </c>
      <c r="GC108" s="131"/>
      <c r="GD108" s="130">
        <f t="shared" si="53"/>
        <v>0</v>
      </c>
      <c r="GE108" s="130" t="e">
        <f t="shared" si="53"/>
        <v>#DIV/0!</v>
      </c>
      <c r="GF108" s="130" t="e">
        <f t="shared" ref="GF108:GZ108" si="54">GF116/GF121/GF$142</f>
        <v>#DIV/0!</v>
      </c>
      <c r="GG108" s="131"/>
      <c r="GH108" s="130">
        <f t="shared" si="54"/>
        <v>0</v>
      </c>
      <c r="GI108" s="130" t="e">
        <f t="shared" si="54"/>
        <v>#DIV/0!</v>
      </c>
      <c r="GJ108" s="130" t="e">
        <f t="shared" si="54"/>
        <v>#DIV/0!</v>
      </c>
      <c r="GK108" s="131"/>
      <c r="GL108" s="130">
        <f t="shared" si="54"/>
        <v>1.2791213850023839E-2</v>
      </c>
      <c r="GM108" s="130" t="e">
        <f t="shared" si="54"/>
        <v>#DIV/0!</v>
      </c>
      <c r="GN108" s="130" t="e">
        <f t="shared" si="54"/>
        <v>#DIV/0!</v>
      </c>
      <c r="GO108" s="131"/>
      <c r="GP108" s="130">
        <f t="shared" si="54"/>
        <v>9.9548013574483011E-3</v>
      </c>
      <c r="GQ108" s="130" t="e">
        <f t="shared" si="54"/>
        <v>#DIV/0!</v>
      </c>
      <c r="GR108" s="130" t="e">
        <f t="shared" si="54"/>
        <v>#DIV/0!</v>
      </c>
      <c r="GS108" s="131"/>
      <c r="GT108" s="130">
        <f t="shared" si="54"/>
        <v>0</v>
      </c>
      <c r="GU108" s="130" t="e">
        <f t="shared" si="54"/>
        <v>#DIV/0!</v>
      </c>
      <c r="GV108" s="130" t="e">
        <f t="shared" si="54"/>
        <v>#DIV/0!</v>
      </c>
      <c r="GW108" s="131"/>
      <c r="GX108" s="130">
        <f t="shared" si="54"/>
        <v>6.2985484431723974E-3</v>
      </c>
      <c r="GY108" s="130" t="e">
        <f t="shared" si="54"/>
        <v>#DIV/0!</v>
      </c>
      <c r="GZ108" s="130" t="e">
        <f t="shared" si="54"/>
        <v>#DIV/0!</v>
      </c>
      <c r="HA108" s="131"/>
      <c r="HB108" s="130">
        <f>HB116/HB121/HB$142</f>
        <v>0</v>
      </c>
      <c r="HC108" s="130" t="e">
        <f>HC116/HC121/HC$142</f>
        <v>#DIV/0!</v>
      </c>
      <c r="HD108" s="130" t="e">
        <f>HD116/HD121/HD$142</f>
        <v>#DIV/0!</v>
      </c>
      <c r="HE108" s="131"/>
      <c r="HF108" s="130">
        <f>HF116/HF121/HF$142</f>
        <v>0</v>
      </c>
      <c r="HG108" s="130">
        <f>HG116/HG121/HG$142</f>
        <v>0</v>
      </c>
      <c r="HH108" s="130" t="e">
        <f>HH116/HH121/HH$142</f>
        <v>#DIV/0!</v>
      </c>
    </row>
    <row r="109" spans="1:256" x14ac:dyDescent="0.2">
      <c r="B109" s="169" t="s">
        <v>288</v>
      </c>
      <c r="C109" s="117"/>
      <c r="D109" s="118"/>
      <c r="E109" s="130">
        <f>(E16+E17-E11)/E9</f>
        <v>0.1335371392615213</v>
      </c>
      <c r="F109" s="130">
        <f>(F16+F17-F11)/F9</f>
        <v>0.12085608876764323</v>
      </c>
      <c r="G109" s="130">
        <f>(G16+G17-G11)/G9</f>
        <v>7.8433772081422146E-2</v>
      </c>
      <c r="H109" s="130">
        <f>(H16+H17-H11)/H9</f>
        <v>0.3203182661499237</v>
      </c>
      <c r="I109" s="130"/>
      <c r="J109" s="130" t="e">
        <f>(J16+J17-J11)/J9</f>
        <v>#DIV/0!</v>
      </c>
      <c r="K109" s="131"/>
      <c r="L109" s="130">
        <f>(L16+L17-L11)/L9</f>
        <v>0</v>
      </c>
      <c r="M109" s="130">
        <f>(M16+M17-M11)/M9</f>
        <v>0</v>
      </c>
      <c r="N109" s="130"/>
      <c r="O109" s="131"/>
      <c r="P109" s="130">
        <f>(P16+P17-P11)/P9</f>
        <v>2.1611311377874253E-3</v>
      </c>
      <c r="Q109" s="130">
        <f>(Q16+Q17-Q11)/Q9</f>
        <v>7.0308170992958274E-2</v>
      </c>
      <c r="R109" s="130">
        <f>(R16+R17-R11)/R9</f>
        <v>-0.12634578609279876</v>
      </c>
      <c r="S109" s="130">
        <f>(S16+S17-S11)/S9</f>
        <v>0.37120299621698477</v>
      </c>
      <c r="T109" s="130"/>
      <c r="U109" s="130"/>
      <c r="V109" s="131"/>
      <c r="W109" s="130">
        <f>(W16+W17-W11)/W9</f>
        <v>5.4453948170225031E-2</v>
      </c>
      <c r="X109" s="130">
        <f>(X16+X17-X11)/X9</f>
        <v>0.4528517594464021</v>
      </c>
      <c r="Y109" s="130">
        <f>(Y16+Y17-Y11)/Y9</f>
        <v>0.18732507527963504</v>
      </c>
      <c r="Z109" s="130">
        <f>(Z16+Z17-Z11)/Z9</f>
        <v>0.12961937598195911</v>
      </c>
      <c r="AA109" s="130"/>
      <c r="AB109" s="130"/>
      <c r="AC109" s="131"/>
      <c r="AD109" s="130">
        <f>(AD16+AD17-AD11)/AD9</f>
        <v>0.11911712881579897</v>
      </c>
      <c r="AE109" s="130">
        <f>(AE16+AE17-AE11)/AE9</f>
        <v>0.14938446436692587</v>
      </c>
      <c r="AF109" s="130"/>
      <c r="AG109" s="131"/>
      <c r="AH109" s="130">
        <f>(AH16+AH17-AH11)/AH9</f>
        <v>0.21490728776017165</v>
      </c>
      <c r="AI109" s="130">
        <f>(AI16+AI17-AI11)/AI9</f>
        <v>0.10982349168416519</v>
      </c>
      <c r="AJ109" s="130"/>
      <c r="AK109" s="131"/>
      <c r="AL109" s="130">
        <f>(AL16+AL17-AL11)/AL9</f>
        <v>0.2073466130916759</v>
      </c>
      <c r="AM109" s="130">
        <f>(AM16+AM17-AM11)/AM9</f>
        <v>0.37046445658156557</v>
      </c>
      <c r="AN109" s="130"/>
      <c r="AO109" s="130"/>
      <c r="AP109" s="130"/>
      <c r="AQ109" s="131"/>
      <c r="AR109" s="130">
        <f>(AR16+AR17-AR11)/AR9</f>
        <v>0.22292688382786807</v>
      </c>
      <c r="AS109" s="130">
        <f>(AS16+AS17-AS11)/AS9</f>
        <v>0.19341372685119279</v>
      </c>
      <c r="AT109" s="130">
        <f>(AT16+AT17-AT11)/AT9</f>
        <v>0.31678690476343868</v>
      </c>
      <c r="AU109" s="130">
        <f>(AU16+AU17-AU11)/AU9</f>
        <v>0.1949692901674592</v>
      </c>
      <c r="AV109" s="130"/>
      <c r="AW109" s="130" t="e">
        <f>(AW16+AW17-AW11)/AW9</f>
        <v>#DIV/0!</v>
      </c>
      <c r="AX109" s="131"/>
      <c r="AY109" s="130">
        <f>(AY16+AY17-AY11)/AY9</f>
        <v>0</v>
      </c>
      <c r="AZ109" s="130">
        <f>(AZ16+AZ17-AZ11)/AZ9</f>
        <v>0</v>
      </c>
      <c r="BA109" s="130" t="e">
        <f>(BA16+BA17-BA11)/BA9</f>
        <v>#DIV/0!</v>
      </c>
      <c r="BB109" s="131"/>
      <c r="BC109" s="130">
        <f>(BC16+BC17-BC11)/BC9</f>
        <v>2.9272529540517487E-2</v>
      </c>
      <c r="BD109" s="130"/>
      <c r="BE109" s="130"/>
      <c r="BF109" s="131"/>
      <c r="BG109" s="130">
        <f>(BG16+BG17-BG11)/BG9</f>
        <v>0.29298872312110386</v>
      </c>
      <c r="BH109" s="130">
        <f>(BH16+BH17-BH11)/BH9</f>
        <v>1.1303506650544135</v>
      </c>
      <c r="BI109" s="130">
        <f>(BI16+BI17-BI11)/BI9</f>
        <v>1.0881099005210801</v>
      </c>
      <c r="BJ109" s="130">
        <f>(BJ16+BJ17-BJ11)/BJ9</f>
        <v>0</v>
      </c>
      <c r="BK109" s="130"/>
      <c r="BL109" s="130" t="e">
        <f>(BL16+BL17-BL11)/BL9</f>
        <v>#DIV/0!</v>
      </c>
      <c r="BM109" s="131"/>
      <c r="BN109" s="130">
        <f>(BN16+BN17-BN11)/BN9</f>
        <v>0.46086507293443335</v>
      </c>
      <c r="BO109" s="130">
        <f>(BO16+BO17-BO11)/BO9</f>
        <v>0.21271660426155589</v>
      </c>
      <c r="BP109" s="130">
        <f>(BP16+BP17-BP11)/BP9</f>
        <v>0.20387723521320497</v>
      </c>
      <c r="BQ109" s="130">
        <f>(BQ16+BQ17-BQ11)/BQ9</f>
        <v>0.21628982442780539</v>
      </c>
      <c r="BR109" s="130"/>
      <c r="BS109" s="130" t="e">
        <f t="shared" ref="BS109:BZ109" si="55">(BS16+BS17-BS11)/BS9</f>
        <v>#DIV/0!</v>
      </c>
      <c r="BT109" s="130"/>
      <c r="BU109" s="130">
        <f t="shared" si="55"/>
        <v>7.9338633154028018E-2</v>
      </c>
      <c r="BV109" s="130">
        <f t="shared" si="55"/>
        <v>0.357658907852759</v>
      </c>
      <c r="BW109" s="130" t="e">
        <f t="shared" si="55"/>
        <v>#DIV/0!</v>
      </c>
      <c r="BX109" s="131"/>
      <c r="BY109" s="130">
        <f t="shared" si="55"/>
        <v>0.17059066501445683</v>
      </c>
      <c r="BZ109" s="130">
        <f t="shared" si="55"/>
        <v>-0.1373695198329854</v>
      </c>
      <c r="CA109" s="130"/>
      <c r="CB109" s="131"/>
      <c r="CC109" s="130">
        <f>(CC16+CC17-CC11)/CC9</f>
        <v>0</v>
      </c>
      <c r="CD109" s="130">
        <f>(CD16+CD17-CD11)/CD9</f>
        <v>0</v>
      </c>
      <c r="CE109" s="130">
        <f>(CE16+CE17-CE11)/CE9</f>
        <v>0</v>
      </c>
      <c r="CF109" s="130"/>
      <c r="CG109" s="130" t="e">
        <f t="shared" ref="CG109:CN109" si="56">(CG16+CG17-CG11)/CG9</f>
        <v>#DIV/0!</v>
      </c>
      <c r="CH109" s="131"/>
      <c r="CI109" s="130">
        <f t="shared" si="56"/>
        <v>0.12705198358413133</v>
      </c>
      <c r="CJ109" s="130">
        <f t="shared" si="56"/>
        <v>0.14477898782831519</v>
      </c>
      <c r="CK109" s="130" t="e">
        <f t="shared" si="56"/>
        <v>#DIV/0!</v>
      </c>
      <c r="CL109" s="131"/>
      <c r="CM109" s="130">
        <f t="shared" si="56"/>
        <v>0.13079299821398507</v>
      </c>
      <c r="CN109" s="130">
        <f t="shared" si="56"/>
        <v>0.12372121735219893</v>
      </c>
      <c r="CO109" s="130"/>
      <c r="CP109" s="130"/>
      <c r="CQ109" s="130"/>
      <c r="CR109" s="130" t="e">
        <f t="shared" ref="CR109:CY109" si="57">(CR16+CR17-CR11)/CR9</f>
        <v>#DIV/0!</v>
      </c>
      <c r="CS109" s="131"/>
      <c r="CT109" s="130">
        <f t="shared" si="57"/>
        <v>0.92098786335846938</v>
      </c>
      <c r="CU109" s="130">
        <f t="shared" si="57"/>
        <v>1.4542079269351995</v>
      </c>
      <c r="CV109" s="130" t="e">
        <f t="shared" si="57"/>
        <v>#DIV/0!</v>
      </c>
      <c r="CW109" s="131"/>
      <c r="CX109" s="130">
        <f t="shared" si="57"/>
        <v>0.15602495620769449</v>
      </c>
      <c r="CY109" s="130">
        <f t="shared" si="57"/>
        <v>0.13985412139337738</v>
      </c>
      <c r="CZ109" s="130"/>
      <c r="DA109" s="130"/>
      <c r="DB109" s="130" t="e">
        <f t="shared" ref="DB109:DI109" si="58">(DB16+DB17-DB11)/DB9</f>
        <v>#DIV/0!</v>
      </c>
      <c r="DC109" s="131"/>
      <c r="DD109" s="130">
        <f t="shared" si="58"/>
        <v>0</v>
      </c>
      <c r="DE109" s="130">
        <f t="shared" si="58"/>
        <v>0</v>
      </c>
      <c r="DF109" s="130" t="e">
        <f t="shared" si="58"/>
        <v>#DIV/0!</v>
      </c>
      <c r="DG109" s="131"/>
      <c r="DH109" s="130">
        <f t="shared" si="58"/>
        <v>2.8140480209220269E-2</v>
      </c>
      <c r="DI109" s="130">
        <f t="shared" si="58"/>
        <v>0.10087724480210378</v>
      </c>
      <c r="DJ109" s="130"/>
      <c r="DK109" s="130"/>
      <c r="DL109" s="130"/>
      <c r="DM109" s="130" t="e">
        <f>(DM16+DM17-DM11)/DM9</f>
        <v>#DIV/0!</v>
      </c>
      <c r="DN109" s="131"/>
      <c r="DO109" s="130">
        <f>(DO16+DO17-DO11)/DO9</f>
        <v>0.28904217341320265</v>
      </c>
      <c r="DP109" s="130">
        <f>(DP16+DP17-DP11)/DP9</f>
        <v>0.22244764872110717</v>
      </c>
      <c r="DQ109" s="130"/>
      <c r="DR109" s="130"/>
      <c r="DS109" s="130"/>
      <c r="DT109" s="130" t="e">
        <f t="shared" ref="DT109:GE109" si="59">(DT16+DT17-DT11)/DT9</f>
        <v>#DIV/0!</v>
      </c>
      <c r="DU109" s="131"/>
      <c r="DV109" s="130">
        <f t="shared" si="59"/>
        <v>0.60814331818481215</v>
      </c>
      <c r="DW109" s="130">
        <f t="shared" si="59"/>
        <v>5.2937798585135129E-2</v>
      </c>
      <c r="DX109" s="130" t="e">
        <f t="shared" si="59"/>
        <v>#DIV/0!</v>
      </c>
      <c r="DY109" s="131"/>
      <c r="DZ109" s="130">
        <f t="shared" si="59"/>
        <v>0.11371479461204498</v>
      </c>
      <c r="EA109" s="130">
        <f t="shared" si="59"/>
        <v>4.1457215475854278E-2</v>
      </c>
      <c r="EB109" s="130" t="e">
        <f t="shared" si="59"/>
        <v>#DIV/0!</v>
      </c>
      <c r="EC109" s="131"/>
      <c r="ED109" s="130">
        <f t="shared" si="59"/>
        <v>0</v>
      </c>
      <c r="EE109" s="130">
        <f t="shared" si="59"/>
        <v>6.8509905233590266E-3</v>
      </c>
      <c r="EF109" s="130" t="e">
        <f t="shared" si="59"/>
        <v>#DIV/0!</v>
      </c>
      <c r="EG109" s="131"/>
      <c r="EH109" s="130">
        <f t="shared" si="59"/>
        <v>0.10642331202649941</v>
      </c>
      <c r="EI109" s="130">
        <f t="shared" si="59"/>
        <v>0.10066663683951502</v>
      </c>
      <c r="EJ109" s="130" t="e">
        <f t="shared" si="59"/>
        <v>#DIV/0!</v>
      </c>
      <c r="EK109" s="131"/>
      <c r="EL109" s="130">
        <f t="shared" si="59"/>
        <v>0.41385459533607682</v>
      </c>
      <c r="EM109" s="130">
        <f t="shared" si="59"/>
        <v>0.42659123055162657</v>
      </c>
      <c r="EN109" s="130" t="e">
        <f t="shared" si="59"/>
        <v>#DIV/0!</v>
      </c>
      <c r="EO109" s="131"/>
      <c r="EP109" s="130">
        <f t="shared" si="59"/>
        <v>0.10925335812691876</v>
      </c>
      <c r="EQ109" s="130">
        <f t="shared" si="59"/>
        <v>9.0111662227869121E-2</v>
      </c>
      <c r="ER109" s="130" t="e">
        <f t="shared" si="59"/>
        <v>#DIV/0!</v>
      </c>
      <c r="ES109" s="131"/>
      <c r="ET109" s="130">
        <f t="shared" si="59"/>
        <v>9.4853456080774251E-2</v>
      </c>
      <c r="EU109" s="130">
        <f t="shared" si="59"/>
        <v>4.7357386844873006E-2</v>
      </c>
      <c r="EV109" s="130" t="e">
        <f t="shared" si="59"/>
        <v>#DIV/0!</v>
      </c>
      <c r="EW109" s="131"/>
      <c r="EX109" s="130">
        <f t="shared" si="59"/>
        <v>0</v>
      </c>
      <c r="EY109" s="130" t="e">
        <f t="shared" si="59"/>
        <v>#DIV/0!</v>
      </c>
      <c r="EZ109" s="130" t="e">
        <f t="shared" si="59"/>
        <v>#DIV/0!</v>
      </c>
      <c r="FA109" s="131"/>
      <c r="FB109" s="130">
        <f t="shared" si="59"/>
        <v>0</v>
      </c>
      <c r="FC109" s="130">
        <f t="shared" si="59"/>
        <v>0</v>
      </c>
      <c r="FD109" s="130" t="e">
        <f t="shared" si="59"/>
        <v>#DIV/0!</v>
      </c>
      <c r="FE109" s="131"/>
      <c r="FF109" s="130">
        <f t="shared" si="59"/>
        <v>6.4146503657476081E-2</v>
      </c>
      <c r="FG109" s="130">
        <f t="shared" si="59"/>
        <v>8.9013967062747557E-2</v>
      </c>
      <c r="FH109" s="130" t="e">
        <f t="shared" si="59"/>
        <v>#DIV/0!</v>
      </c>
      <c r="FI109" s="131"/>
      <c r="FJ109" s="130">
        <f t="shared" si="59"/>
        <v>0.18349112773379853</v>
      </c>
      <c r="FK109" s="130">
        <f t="shared" si="59"/>
        <v>0.24525167952693969</v>
      </c>
      <c r="FL109" s="130" t="e">
        <f t="shared" si="59"/>
        <v>#DIV/0!</v>
      </c>
      <c r="FM109" s="131"/>
      <c r="FN109" s="130">
        <f t="shared" si="59"/>
        <v>0</v>
      </c>
      <c r="FO109" s="130">
        <f t="shared" si="59"/>
        <v>0</v>
      </c>
      <c r="FP109" s="130" t="e">
        <f t="shared" si="59"/>
        <v>#DIV/0!</v>
      </c>
      <c r="FQ109" s="131"/>
      <c r="FR109" s="130">
        <f t="shared" si="59"/>
        <v>0</v>
      </c>
      <c r="FS109" s="130">
        <f t="shared" si="59"/>
        <v>0</v>
      </c>
      <c r="FT109" s="130" t="e">
        <f t="shared" si="59"/>
        <v>#DIV/0!</v>
      </c>
      <c r="FU109" s="131"/>
      <c r="FV109" s="130">
        <f t="shared" si="59"/>
        <v>0.3820086260012322</v>
      </c>
      <c r="FW109" s="130">
        <f t="shared" si="59"/>
        <v>0.13339298973782915</v>
      </c>
      <c r="FX109" s="130" t="e">
        <f t="shared" si="59"/>
        <v>#DIV/0!</v>
      </c>
      <c r="FY109" s="131"/>
      <c r="FZ109" s="130">
        <f t="shared" si="59"/>
        <v>0.18730358265241986</v>
      </c>
      <c r="GA109" s="130">
        <f t="shared" si="59"/>
        <v>0.27778517236789563</v>
      </c>
      <c r="GB109" s="130" t="e">
        <f t="shared" si="59"/>
        <v>#DIV/0!</v>
      </c>
      <c r="GC109" s="131"/>
      <c r="GD109" s="130">
        <f t="shared" si="59"/>
        <v>0</v>
      </c>
      <c r="GE109" s="130">
        <f t="shared" si="59"/>
        <v>0</v>
      </c>
      <c r="GF109" s="130" t="e">
        <f t="shared" ref="GF109:GZ109" si="60">(GF16+GF17-GF11)/GF9</f>
        <v>#DIV/0!</v>
      </c>
      <c r="GG109" s="131"/>
      <c r="GH109" s="130">
        <f t="shared" si="60"/>
        <v>0.58870871905953415</v>
      </c>
      <c r="GI109" s="130">
        <f t="shared" si="60"/>
        <v>0.17980695157910942</v>
      </c>
      <c r="GJ109" s="130" t="e">
        <f t="shared" si="60"/>
        <v>#DIV/0!</v>
      </c>
      <c r="GK109" s="131"/>
      <c r="GL109" s="130">
        <f t="shared" si="60"/>
        <v>0.28412563848658196</v>
      </c>
      <c r="GM109" s="130">
        <f t="shared" si="60"/>
        <v>0.74072133111231764</v>
      </c>
      <c r="GN109" s="130" t="e">
        <f t="shared" si="60"/>
        <v>#DIV/0!</v>
      </c>
      <c r="GO109" s="131"/>
      <c r="GP109" s="130">
        <f t="shared" si="60"/>
        <v>0.23389593316653237</v>
      </c>
      <c r="GQ109" s="130">
        <f t="shared" si="60"/>
        <v>8.7472327865130275E-2</v>
      </c>
      <c r="GR109" s="130" t="e">
        <f t="shared" si="60"/>
        <v>#DIV/0!</v>
      </c>
      <c r="GS109" s="131"/>
      <c r="GT109" s="130">
        <f t="shared" si="60"/>
        <v>0</v>
      </c>
      <c r="GU109" s="130" t="e">
        <f t="shared" si="60"/>
        <v>#DIV/0!</v>
      </c>
      <c r="GV109" s="130" t="e">
        <f t="shared" si="60"/>
        <v>#DIV/0!</v>
      </c>
      <c r="GW109" s="131"/>
      <c r="GX109" s="130">
        <f t="shared" si="60"/>
        <v>0.14857768767474533</v>
      </c>
      <c r="GY109" s="130">
        <f t="shared" si="60"/>
        <v>7.86898751880903E-2</v>
      </c>
      <c r="GZ109" s="130" t="e">
        <f t="shared" si="60"/>
        <v>#DIV/0!</v>
      </c>
      <c r="HA109" s="131"/>
      <c r="HB109" s="130">
        <f>(HB16+HB17-HB11)/HB9</f>
        <v>0</v>
      </c>
      <c r="HC109" s="130" t="e">
        <f>(HC16+HC17-HC11)/HC9</f>
        <v>#DIV/0!</v>
      </c>
      <c r="HD109" s="130" t="e">
        <f>(HD16+HD17-HD11)/HD9</f>
        <v>#DIV/0!</v>
      </c>
      <c r="HE109" s="131"/>
      <c r="HF109" s="130">
        <f>(HF16+HF17-HF11)/HF9</f>
        <v>0</v>
      </c>
      <c r="HG109" s="130">
        <f>(HG16+HG17-HG11)/HG9</f>
        <v>0</v>
      </c>
      <c r="HH109" s="130">
        <f>(HH16+HH17-HH11)/HH9</f>
        <v>0</v>
      </c>
    </row>
    <row r="110" spans="1:256" s="85" customFormat="1" ht="14.25" customHeight="1" x14ac:dyDescent="0.2">
      <c r="C110" s="125"/>
      <c r="D110" s="126"/>
      <c r="E110" s="92"/>
      <c r="F110" s="92"/>
      <c r="G110" s="92"/>
      <c r="H110" s="92"/>
      <c r="I110" s="92"/>
      <c r="J110" s="91"/>
      <c r="K110" s="92"/>
      <c r="N110" s="125"/>
      <c r="O110" s="126"/>
      <c r="U110" s="91"/>
      <c r="V110" s="92"/>
      <c r="AB110" s="91"/>
      <c r="AC110" s="92"/>
      <c r="AF110" s="91"/>
      <c r="AG110" s="92"/>
      <c r="AJ110" s="91"/>
      <c r="AK110" s="92"/>
      <c r="AP110" s="91"/>
      <c r="AQ110" s="92"/>
      <c r="AW110" s="91"/>
      <c r="AX110" s="92"/>
      <c r="BA110" s="91"/>
      <c r="BB110" s="92"/>
      <c r="BC110" s="92"/>
      <c r="BD110" s="92"/>
      <c r="BE110" s="91"/>
      <c r="BF110" s="92"/>
      <c r="BG110" s="92"/>
      <c r="BH110" s="92"/>
      <c r="BI110" s="92"/>
      <c r="BJ110" s="92"/>
      <c r="BK110" s="92"/>
      <c r="BL110" s="91"/>
      <c r="BM110" s="92"/>
      <c r="BN110" s="92"/>
      <c r="BO110" s="92"/>
      <c r="BP110" s="92"/>
      <c r="BQ110" s="92"/>
      <c r="BR110" s="92"/>
      <c r="BS110" s="91"/>
      <c r="BT110" s="92"/>
      <c r="BU110" s="92"/>
      <c r="BV110" s="92"/>
      <c r="BW110" s="91"/>
      <c r="BX110" s="92"/>
      <c r="CA110" s="91"/>
      <c r="CB110" s="92"/>
      <c r="CG110" s="91"/>
      <c r="CH110" s="92"/>
      <c r="CK110" s="91"/>
      <c r="CL110" s="92"/>
      <c r="CR110" s="91"/>
      <c r="CS110" s="92"/>
      <c r="CV110" s="91"/>
      <c r="CW110" s="92"/>
      <c r="DB110" s="91"/>
      <c r="DC110" s="92"/>
      <c r="DF110" s="91"/>
      <c r="DG110" s="92"/>
      <c r="DM110" s="91"/>
      <c r="DN110" s="92"/>
      <c r="DT110" s="91"/>
      <c r="DU110" s="92"/>
      <c r="DX110" s="91"/>
      <c r="DY110" s="92"/>
      <c r="EB110" s="91"/>
      <c r="EC110" s="92"/>
      <c r="EF110" s="91"/>
      <c r="EG110" s="92"/>
      <c r="EJ110" s="91"/>
      <c r="EK110" s="92"/>
      <c r="EN110" s="91"/>
      <c r="EO110" s="92"/>
      <c r="ER110" s="91"/>
      <c r="ES110" s="92"/>
      <c r="EV110" s="91"/>
      <c r="EW110" s="92"/>
      <c r="EZ110" s="91"/>
      <c r="FA110" s="92"/>
      <c r="FD110" s="91"/>
      <c r="FE110" s="92"/>
      <c r="FH110" s="91"/>
      <c r="FI110" s="92"/>
      <c r="FL110" s="91"/>
      <c r="FM110" s="92"/>
      <c r="FP110" s="91"/>
      <c r="FQ110" s="92"/>
      <c r="FT110" s="91"/>
      <c r="FU110" s="92"/>
      <c r="FX110" s="91"/>
      <c r="FY110" s="92"/>
      <c r="GB110" s="91"/>
      <c r="GC110" s="92"/>
      <c r="GF110" s="91"/>
      <c r="GG110" s="92"/>
      <c r="GJ110" s="91"/>
      <c r="GK110" s="92"/>
      <c r="GN110" s="91"/>
      <c r="GO110" s="92"/>
      <c r="GR110" s="91"/>
      <c r="GS110" s="92"/>
      <c r="GV110" s="91"/>
      <c r="GW110" s="92"/>
      <c r="GZ110" s="91"/>
      <c r="HA110" s="92"/>
      <c r="HD110" s="91"/>
      <c r="HE110" s="9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85" customFormat="1" ht="14.25" customHeight="1" x14ac:dyDescent="0.2">
      <c r="A111" s="148" t="s">
        <v>289</v>
      </c>
      <c r="B111" s="148"/>
      <c r="C111" s="125"/>
      <c r="D111" s="126"/>
      <c r="E111" s="92"/>
      <c r="F111" s="92"/>
      <c r="G111" s="92"/>
      <c r="H111" s="92"/>
      <c r="I111" s="92"/>
      <c r="J111" s="91"/>
      <c r="K111" s="92"/>
      <c r="N111" s="125"/>
      <c r="O111" s="126"/>
      <c r="U111" s="91"/>
      <c r="V111" s="92"/>
      <c r="AB111" s="91"/>
      <c r="AC111" s="92"/>
      <c r="AF111" s="91"/>
      <c r="AG111" s="92"/>
      <c r="AJ111" s="91"/>
      <c r="AK111" s="92"/>
      <c r="AP111" s="91"/>
      <c r="AQ111" s="92"/>
      <c r="AW111" s="91"/>
      <c r="AX111" s="92"/>
      <c r="BA111" s="91"/>
      <c r="BB111" s="92"/>
      <c r="BC111" s="92"/>
      <c r="BD111" s="92"/>
      <c r="BE111" s="91"/>
      <c r="BF111" s="92"/>
      <c r="BG111" s="92"/>
      <c r="BH111" s="92"/>
      <c r="BI111" s="92"/>
      <c r="BJ111" s="92"/>
      <c r="BK111" s="92"/>
      <c r="BL111" s="91"/>
      <c r="BM111" s="92"/>
      <c r="BN111" s="92"/>
      <c r="BO111" s="92"/>
      <c r="BP111" s="92"/>
      <c r="BQ111" s="92"/>
      <c r="BR111" s="92"/>
      <c r="BS111" s="91"/>
      <c r="BT111" s="92"/>
      <c r="BU111" s="92"/>
      <c r="BV111" s="92"/>
      <c r="BW111" s="91"/>
      <c r="BX111" s="92"/>
      <c r="CA111" s="91"/>
      <c r="CB111" s="92"/>
      <c r="CG111" s="91"/>
      <c r="CH111" s="92"/>
      <c r="CK111" s="91"/>
      <c r="CL111" s="92"/>
      <c r="CR111" s="91"/>
      <c r="CS111" s="92"/>
      <c r="CV111" s="91"/>
      <c r="CW111" s="92"/>
      <c r="DB111" s="91"/>
      <c r="DC111" s="92"/>
      <c r="DF111" s="91"/>
      <c r="DG111" s="92"/>
      <c r="DM111" s="91"/>
      <c r="DN111" s="92"/>
      <c r="DT111" s="91"/>
      <c r="DU111" s="92"/>
      <c r="DX111" s="91"/>
      <c r="DY111" s="92"/>
      <c r="EB111" s="91"/>
      <c r="EC111" s="92"/>
      <c r="EF111" s="91"/>
      <c r="EG111" s="92"/>
      <c r="EJ111" s="91"/>
      <c r="EK111" s="92"/>
      <c r="EN111" s="91"/>
      <c r="EO111" s="92"/>
      <c r="ER111" s="91"/>
      <c r="ES111" s="92"/>
      <c r="EV111" s="91"/>
      <c r="EW111" s="92"/>
      <c r="EZ111" s="91"/>
      <c r="FA111" s="92"/>
      <c r="FD111" s="91"/>
      <c r="FE111" s="92"/>
      <c r="FH111" s="91"/>
      <c r="FI111" s="92"/>
      <c r="FL111" s="91"/>
      <c r="FM111" s="92"/>
      <c r="FP111" s="91"/>
      <c r="FQ111" s="92"/>
      <c r="FT111" s="91"/>
      <c r="FU111" s="92"/>
      <c r="FX111" s="91"/>
      <c r="FY111" s="92"/>
      <c r="GB111" s="91"/>
      <c r="GC111" s="92"/>
      <c r="GF111" s="91"/>
      <c r="GG111" s="92"/>
      <c r="GJ111" s="91"/>
      <c r="GK111" s="92"/>
      <c r="GN111" s="91"/>
      <c r="GO111" s="92"/>
      <c r="GR111" s="91"/>
      <c r="GS111" s="92"/>
      <c r="GV111" s="91"/>
      <c r="GW111" s="92"/>
      <c r="GZ111" s="91"/>
      <c r="HA111" s="92"/>
      <c r="HD111" s="91"/>
      <c r="HE111" s="9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85" customFormat="1" ht="14.25" customHeight="1" x14ac:dyDescent="0.2">
      <c r="A112" s="13"/>
      <c r="B112" s="5" t="s">
        <v>290</v>
      </c>
      <c r="C112" s="125"/>
      <c r="D112" s="126"/>
      <c r="E112" s="111">
        <f>SUM(E9)/E$142</f>
        <v>1762.4609999999993</v>
      </c>
      <c r="F112" s="111">
        <f>SUM(F9)/F$142</f>
        <v>1713.3270000000011</v>
      </c>
      <c r="G112" s="111">
        <f>SUM(G9)/G$142</f>
        <v>1070.4700000000003</v>
      </c>
      <c r="H112" s="111">
        <f>SUM(H9)/H$142</f>
        <v>345.49699999999939</v>
      </c>
      <c r="I112" s="111"/>
      <c r="J112" s="111" t="e">
        <f>SUM(J9)/J$142</f>
        <v>#DIV/0!</v>
      </c>
      <c r="K112" s="108"/>
      <c r="L112" s="111">
        <f>SUM(L9)/L$142</f>
        <v>42.917000000000009</v>
      </c>
      <c r="M112" s="111" t="e">
        <f>SUM(M9)/M$142</f>
        <v>#DIV/0!</v>
      </c>
      <c r="N112" s="111"/>
      <c r="O112" s="108"/>
      <c r="P112" s="111">
        <f>SUM(P9)/P$142</f>
        <v>1600.088</v>
      </c>
      <c r="Q112" s="111">
        <f>SUM(Q9)/Q$142</f>
        <v>1496.085</v>
      </c>
      <c r="R112" s="111">
        <f>SUM(R9)/R$142</f>
        <v>1196.9770000000001</v>
      </c>
      <c r="S112" s="111">
        <f>SUM(S9)/S$142</f>
        <v>1510.1709999999998</v>
      </c>
      <c r="T112" s="111"/>
      <c r="U112" s="111"/>
      <c r="V112" s="108"/>
      <c r="W112" s="111">
        <f>SUM(W9)/W$142</f>
        <v>1805.1399999999996</v>
      </c>
      <c r="X112" s="111">
        <f>SUM(X9)/X$142</f>
        <v>1405.6410000000001</v>
      </c>
      <c r="Y112" s="111">
        <f>SUM(Y9)/Y$142</f>
        <v>1431.3299999999997</v>
      </c>
      <c r="Z112" s="111">
        <f>SUM(Z9)/Z$142</f>
        <v>1289.5139999999999</v>
      </c>
      <c r="AA112" s="111"/>
      <c r="AB112" s="111"/>
      <c r="AC112" s="108"/>
      <c r="AD112" s="111">
        <f>SUM(AD9)/AD$142</f>
        <v>1926.759</v>
      </c>
      <c r="AE112" s="111" t="e">
        <f>SUM(AE9)/AE$142</f>
        <v>#DIV/0!</v>
      </c>
      <c r="AF112" s="111"/>
      <c r="AG112" s="108"/>
      <c r="AH112" s="111">
        <f>SUM(AH9)/AH$142</f>
        <v>728.22100000000023</v>
      </c>
      <c r="AI112" s="111" t="e">
        <f>SUM(AI9)/AI$142</f>
        <v>#DIV/0!</v>
      </c>
      <c r="AJ112" s="111"/>
      <c r="AK112" s="108"/>
      <c r="AL112" s="111">
        <f>SUM(AL9)/AL$142</f>
        <v>245.63700000000006</v>
      </c>
      <c r="AM112" s="111" t="e">
        <f>SUM(AM9)/AM$142</f>
        <v>#DIV/0!</v>
      </c>
      <c r="AN112" s="111"/>
      <c r="AO112" s="111"/>
      <c r="AP112" s="111"/>
      <c r="AQ112" s="108"/>
      <c r="AR112" s="111">
        <f>SUM(AR9)/AR$142</f>
        <v>1350.0569999999998</v>
      </c>
      <c r="AS112" s="111">
        <f>SUM(AS9)/AS$142</f>
        <v>1018.5730000000001</v>
      </c>
      <c r="AT112" s="111">
        <f>SUM(AT9)/AT$142</f>
        <v>776.09900000000016</v>
      </c>
      <c r="AU112" s="111">
        <f>SUM(AU9)/AU$142</f>
        <v>648.81499999999983</v>
      </c>
      <c r="AV112" s="111"/>
      <c r="AW112" s="111" t="e">
        <f>SUM(AW9)/AW$142</f>
        <v>#DIV/0!</v>
      </c>
      <c r="AX112" s="108"/>
      <c r="AY112" s="111">
        <f>SUM(AY9)/AY$142</f>
        <v>1175</v>
      </c>
      <c r="AZ112" s="111" t="e">
        <f>SUM(AZ9)/AZ$142</f>
        <v>#DIV/0!</v>
      </c>
      <c r="BA112" s="111" t="e">
        <f>SUM(BA9)/BA$142</f>
        <v>#DIV/0!</v>
      </c>
      <c r="BB112" s="108"/>
      <c r="BC112" s="111">
        <f>SUM(BC9)/BC$142</f>
        <v>13097.603999999999</v>
      </c>
      <c r="BD112" s="111"/>
      <c r="BE112" s="111"/>
      <c r="BF112" s="108"/>
      <c r="BG112" s="111">
        <f>SUM(BG9)/BG$142</f>
        <v>14277</v>
      </c>
      <c r="BH112" s="111">
        <f>SUM(BH9)/BH$142</f>
        <v>8270</v>
      </c>
      <c r="BI112" s="111">
        <f>SUM(BI9)/BI$142</f>
        <v>3909.2592592592591</v>
      </c>
      <c r="BJ112" s="111">
        <f>SUM(BJ9)/BJ$142</f>
        <v>1362.5</v>
      </c>
      <c r="BK112" s="111"/>
      <c r="BL112" s="111" t="e">
        <f>SUM(BL9)/BL$142</f>
        <v>#DIV/0!</v>
      </c>
      <c r="BM112" s="108"/>
      <c r="BN112" s="111">
        <f>SUM(BN9)/BN$142</f>
        <v>4583.7060000000001</v>
      </c>
      <c r="BO112" s="111">
        <f>SUM(BO9)/BO$142</f>
        <v>4886.6190000000006</v>
      </c>
      <c r="BP112" s="111">
        <f>SUM(BP9)/BP$142</f>
        <v>3117.3759999999997</v>
      </c>
      <c r="BQ112" s="111">
        <f>SUM(BQ9)/BQ$142</f>
        <v>2164.1240000000003</v>
      </c>
      <c r="BR112" s="111"/>
      <c r="BS112" s="111" t="e">
        <f>SUM(BS9)/BS$142</f>
        <v>#DIV/0!</v>
      </c>
      <c r="BT112" s="111"/>
      <c r="BU112" s="111">
        <f>SUM(BU9)/BU$142</f>
        <v>315.10500000000002</v>
      </c>
      <c r="BV112" s="111" t="e">
        <f>SUM(BV9)/BV$142</f>
        <v>#DIV/0!</v>
      </c>
      <c r="BW112" s="111" t="e">
        <f>SUM(BW9)/BW$142</f>
        <v>#DIV/0!</v>
      </c>
      <c r="BX112" s="108"/>
      <c r="BY112" s="111">
        <f>SUM(BY9)/BY$142</f>
        <v>-2421</v>
      </c>
      <c r="BZ112" s="111" t="e">
        <f>SUM(BZ9)/BZ$142</f>
        <v>#DIV/0!</v>
      </c>
      <c r="CA112" s="111"/>
      <c r="CB112" s="108"/>
      <c r="CC112" s="111">
        <f>SUM(CC9)/CC$142</f>
        <v>3337.3339999999989</v>
      </c>
      <c r="CD112" s="111">
        <f>SUM(CD9)/CD$142</f>
        <v>1242.234482758621</v>
      </c>
      <c r="CE112" s="111">
        <f>SUM(CE9)/CE$142</f>
        <v>62.686000000000007</v>
      </c>
      <c r="CF112" s="111"/>
      <c r="CG112" s="111" t="e">
        <f>SUM(CG9)/CG$142</f>
        <v>#DIV/0!</v>
      </c>
      <c r="CH112" s="108"/>
      <c r="CI112" s="111">
        <f>SUM(CI9)/CI$142</f>
        <v>5848</v>
      </c>
      <c r="CJ112" s="111" t="e">
        <f>SUM(CJ9)/CJ$142</f>
        <v>#DIV/0!</v>
      </c>
      <c r="CK112" s="111" t="e">
        <f>SUM(CK9)/CK$142</f>
        <v>#DIV/0!</v>
      </c>
      <c r="CL112" s="108"/>
      <c r="CM112" s="111">
        <f>SUM(CM9)/CM$142</f>
        <v>790.02700000000004</v>
      </c>
      <c r="CN112" s="111" t="e">
        <f>SUM(CN9)/CN$142</f>
        <v>#DIV/0!</v>
      </c>
      <c r="CO112" s="111"/>
      <c r="CP112" s="111"/>
      <c r="CQ112" s="111"/>
      <c r="CR112" s="111" t="e">
        <f>SUM(CR9)/CR$142</f>
        <v>#DIV/0!</v>
      </c>
      <c r="CS112" s="108"/>
      <c r="CT112" s="111">
        <f>SUM(CT9)/CT$142</f>
        <v>165.36700000000002</v>
      </c>
      <c r="CU112" s="111" t="e">
        <f>SUM(CU9)/CU$142</f>
        <v>#DIV/0!</v>
      </c>
      <c r="CV112" s="111" t="e">
        <f>SUM(CV9)/CV$142</f>
        <v>#DIV/0!</v>
      </c>
      <c r="CW112" s="108"/>
      <c r="CX112" s="111">
        <f>SUM(CX9)/CX$142</f>
        <v>924.81999999999994</v>
      </c>
      <c r="CY112" s="111" t="e">
        <f>SUM(CY9)/CY$142</f>
        <v>#DIV/0!</v>
      </c>
      <c r="CZ112" s="111"/>
      <c r="DA112" s="111"/>
      <c r="DB112" s="111" t="e">
        <f>SUM(DB9)/DB$142</f>
        <v>#DIV/0!</v>
      </c>
      <c r="DC112" s="108"/>
      <c r="DD112" s="111">
        <f>SUM(DD9)/DD$142</f>
        <v>1702.4799999999998</v>
      </c>
      <c r="DE112" s="111" t="e">
        <f>SUM(DE9)/DE$142</f>
        <v>#DIV/0!</v>
      </c>
      <c r="DF112" s="111" t="e">
        <f>SUM(DF9)/DF$142</f>
        <v>#DIV/0!</v>
      </c>
      <c r="DG112" s="108"/>
      <c r="DH112" s="111">
        <f>SUM(DH9)/DH$142</f>
        <v>6111.8360000000002</v>
      </c>
      <c r="DI112" s="111" t="e">
        <f>SUM(DI9)/DI$142</f>
        <v>#DIV/0!</v>
      </c>
      <c r="DJ112" s="111"/>
      <c r="DK112" s="111"/>
      <c r="DL112" s="111"/>
      <c r="DM112" s="111" t="e">
        <f>SUM(DM9)/DM$142</f>
        <v>#DIV/0!</v>
      </c>
      <c r="DN112" s="108"/>
      <c r="DO112" s="111">
        <f>SUM(DO9)/DO$142</f>
        <v>16527</v>
      </c>
      <c r="DP112" s="111" t="e">
        <f>SUM(DP9)/DP$142</f>
        <v>#DIV/0!</v>
      </c>
      <c r="DQ112" s="111"/>
      <c r="DR112" s="111"/>
      <c r="DS112" s="111"/>
      <c r="DT112" s="111" t="e">
        <f>SUM(DT9)/DT$142</f>
        <v>#DIV/0!</v>
      </c>
      <c r="DU112" s="108"/>
      <c r="DV112" s="111">
        <f>SUM(DV9)/DV$142</f>
        <v>379.57499999999993</v>
      </c>
      <c r="DW112" s="111" t="e">
        <f>SUM(DW9)/DW$142</f>
        <v>#DIV/0!</v>
      </c>
      <c r="DX112" s="111" t="e">
        <f>SUM(DX9)/DX$142</f>
        <v>#DIV/0!</v>
      </c>
      <c r="DY112" s="108"/>
      <c r="DZ112" s="111">
        <f>SUM(DZ9)/DZ$142</f>
        <v>17966</v>
      </c>
      <c r="EA112" s="111" t="e">
        <f>SUM(EA9)/EA$142</f>
        <v>#DIV/0!</v>
      </c>
      <c r="EB112" s="111" t="e">
        <f>SUM(EB9)/EB$142</f>
        <v>#DIV/0!</v>
      </c>
      <c r="EC112" s="108"/>
      <c r="ED112" s="111">
        <f>SUM(ED9)/ED$142</f>
        <v>11877.194</v>
      </c>
      <c r="EE112" s="111" t="e">
        <f>SUM(EE9)/EE$142</f>
        <v>#DIV/0!</v>
      </c>
      <c r="EF112" s="111" t="e">
        <f>SUM(EF9)/EF$142</f>
        <v>#DIV/0!</v>
      </c>
      <c r="EG112" s="108"/>
      <c r="EH112" s="111">
        <f>SUM(EH9)/EH$142</f>
        <v>451.029</v>
      </c>
      <c r="EI112" s="111" t="e">
        <f>SUM(EI9)/EI$142</f>
        <v>#DIV/0!</v>
      </c>
      <c r="EJ112" s="111" t="e">
        <f>SUM(EJ9)/EJ$142</f>
        <v>#DIV/0!</v>
      </c>
      <c r="EK112" s="108"/>
      <c r="EL112" s="111">
        <f>SUM(EL9)/EL$142</f>
        <v>7290</v>
      </c>
      <c r="EM112" s="111" t="e">
        <f>SUM(EM9)/EM$142</f>
        <v>#DIV/0!</v>
      </c>
      <c r="EN112" s="111" t="e">
        <f>SUM(EN9)/EN$142</f>
        <v>#DIV/0!</v>
      </c>
      <c r="EO112" s="108"/>
      <c r="EP112" s="111">
        <f>SUM(EP9)/EP$142</f>
        <v>1510.0680000000004</v>
      </c>
      <c r="EQ112" s="111" t="e">
        <f>SUM(EQ9)/EQ$142</f>
        <v>#DIV/0!</v>
      </c>
      <c r="ER112" s="111" t="e">
        <f>SUM(ER9)/ER$142</f>
        <v>#DIV/0!</v>
      </c>
      <c r="ES112" s="108"/>
      <c r="ET112" s="111">
        <f>SUM(ET9)/ET$142</f>
        <v>1706.4849999999997</v>
      </c>
      <c r="EU112" s="111" t="e">
        <f>SUM(EU9)/EU$142</f>
        <v>#DIV/0!</v>
      </c>
      <c r="EV112" s="111" t="e">
        <f>SUM(EV9)/EV$142</f>
        <v>#DIV/0!</v>
      </c>
      <c r="EW112" s="108"/>
      <c r="EX112" s="111">
        <f>SUM(EX9)/EX$142</f>
        <v>4.6219999999999999</v>
      </c>
      <c r="EY112" s="111" t="e">
        <f>SUM(EY9)/EY$142</f>
        <v>#DIV/0!</v>
      </c>
      <c r="EZ112" s="111" t="e">
        <f>SUM(EZ9)/EZ$142</f>
        <v>#DIV/0!</v>
      </c>
      <c r="FA112" s="108"/>
      <c r="FB112" s="111">
        <f>SUM(FB9)/FB$142</f>
        <v>246.41200000000001</v>
      </c>
      <c r="FC112" s="111" t="e">
        <f>SUM(FC9)/FC$142</f>
        <v>#DIV/0!</v>
      </c>
      <c r="FD112" s="111" t="e">
        <f>SUM(FD9)/FD$142</f>
        <v>#DIV/0!</v>
      </c>
      <c r="FE112" s="108"/>
      <c r="FF112" s="111">
        <f>SUM(FF9)/FF$142</f>
        <v>19549</v>
      </c>
      <c r="FG112" s="111" t="e">
        <f>SUM(FG9)/FG$142</f>
        <v>#DIV/0!</v>
      </c>
      <c r="FH112" s="111" t="e">
        <f>SUM(FH9)/FH$142</f>
        <v>#DIV/0!</v>
      </c>
      <c r="FI112" s="108"/>
      <c r="FJ112" s="111">
        <f>SUM(FJ9)/FJ$142</f>
        <v>2384.9599999999996</v>
      </c>
      <c r="FK112" s="111" t="e">
        <f>SUM(FK9)/FK$142</f>
        <v>#DIV/0!</v>
      </c>
      <c r="FL112" s="111" t="e">
        <f>SUM(FL9)/FL$142</f>
        <v>#DIV/0!</v>
      </c>
      <c r="FM112" s="108"/>
      <c r="FN112" s="111">
        <f>SUM(FN9)/FN$142</f>
        <v>3541.778999999995</v>
      </c>
      <c r="FO112" s="111" t="e">
        <f>SUM(FO9)/FO$142</f>
        <v>#DIV/0!</v>
      </c>
      <c r="FP112" s="111" t="e">
        <f>SUM(FP9)/FP$142</f>
        <v>#DIV/0!</v>
      </c>
      <c r="FQ112" s="108"/>
      <c r="FR112" s="111">
        <f>SUM(FR9)/FR$142</f>
        <v>6349.59</v>
      </c>
      <c r="FS112" s="111" t="e">
        <f>SUM(FS9)/FS$142</f>
        <v>#DIV/0!</v>
      </c>
      <c r="FT112" s="111" t="e">
        <f>SUM(FT9)/FT$142</f>
        <v>#DIV/0!</v>
      </c>
      <c r="FU112" s="108"/>
      <c r="FV112" s="111">
        <f>SUM(FV9)/FV$142</f>
        <v>141.20100000000002</v>
      </c>
      <c r="FW112" s="111" t="e">
        <f>SUM(FW9)/FW$142</f>
        <v>#DIV/0!</v>
      </c>
      <c r="FX112" s="111" t="e">
        <f>SUM(FX9)/FX$142</f>
        <v>#DIV/0!</v>
      </c>
      <c r="FY112" s="108"/>
      <c r="FZ112" s="111">
        <f>SUM(FZ9)/FZ$142</f>
        <v>7955</v>
      </c>
      <c r="GA112" s="111" t="e">
        <f>SUM(GA9)/GA$142</f>
        <v>#DIV/0!</v>
      </c>
      <c r="GB112" s="111" t="e">
        <f>SUM(GB9)/GB$142</f>
        <v>#DIV/0!</v>
      </c>
      <c r="GC112" s="108"/>
      <c r="GD112" s="111">
        <f>SUM(GD9)/GD$142</f>
        <v>-18.931999999999999</v>
      </c>
      <c r="GE112" s="111" t="e">
        <f>SUM(GE9)/GE$142</f>
        <v>#DIV/0!</v>
      </c>
      <c r="GF112" s="111" t="e">
        <f>SUM(GF9)/GF$142</f>
        <v>#DIV/0!</v>
      </c>
      <c r="GG112" s="108"/>
      <c r="GH112" s="111">
        <f>SUM(GH9)/GH$142</f>
        <v>1775.5470000000023</v>
      </c>
      <c r="GI112" s="111" t="e">
        <f>SUM(GI9)/GI$142</f>
        <v>#DIV/0!</v>
      </c>
      <c r="GJ112" s="111" t="e">
        <f>SUM(GJ9)/GJ$142</f>
        <v>#DIV/0!</v>
      </c>
      <c r="GK112" s="108"/>
      <c r="GL112" s="111">
        <f>SUM(GL9)/GL$142</f>
        <v>2667.049</v>
      </c>
      <c r="GM112" s="111" t="e">
        <f>SUM(GM9)/GM$142</f>
        <v>#DIV/0!</v>
      </c>
      <c r="GN112" s="111" t="e">
        <f>SUM(GN9)/GN$142</f>
        <v>#DIV/0!</v>
      </c>
      <c r="GO112" s="108"/>
      <c r="GP112" s="111">
        <f>SUM(GP9)/GP$142</f>
        <v>47162</v>
      </c>
      <c r="GQ112" s="111" t="e">
        <f>SUM(GQ9)/GQ$142</f>
        <v>#DIV/0!</v>
      </c>
      <c r="GR112" s="111" t="e">
        <f>SUM(GR9)/GR$142</f>
        <v>#DIV/0!</v>
      </c>
      <c r="GS112" s="108"/>
      <c r="GT112" s="111">
        <f>SUM(GT9)/GT$142</f>
        <v>190.47619047619048</v>
      </c>
      <c r="GU112" s="111" t="e">
        <f>SUM(GU9)/GU$142</f>
        <v>#DIV/0!</v>
      </c>
      <c r="GV112" s="111" t="e">
        <f>SUM(GV9)/GV$142</f>
        <v>#DIV/0!</v>
      </c>
      <c r="GW112" s="108"/>
      <c r="GX112" s="111">
        <f>SUM(GX9)/GX$142</f>
        <v>1285.442</v>
      </c>
      <c r="GY112" s="111" t="e">
        <f>SUM(GY9)/GY$142</f>
        <v>#DIV/0!</v>
      </c>
      <c r="GZ112" s="111" t="e">
        <f>SUM(GZ9)/GZ$142</f>
        <v>#DIV/0!</v>
      </c>
      <c r="HA112" s="108"/>
      <c r="HB112" s="111">
        <f>SUM(HB9)/HB$142</f>
        <v>1641.8880000000026</v>
      </c>
      <c r="HC112" s="111" t="e">
        <f>SUM(HC9)/HC$142</f>
        <v>#DIV/0!</v>
      </c>
      <c r="HD112" s="111" t="e">
        <f>SUM(HD9)/HD$142</f>
        <v>#DIV/0!</v>
      </c>
      <c r="HE112" s="108"/>
      <c r="HF112" s="111">
        <f>SUM(HF9)/HF$142</f>
        <v>-2441.5809999999983</v>
      </c>
      <c r="HG112" s="111">
        <f>SUM(HG9)/HG$142</f>
        <v>321.54199999999764</v>
      </c>
      <c r="HH112" s="111" t="e">
        <f>SUM(HH9)/HH$142</f>
        <v>#DIV/0!</v>
      </c>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x14ac:dyDescent="0.2">
      <c r="B113" s="5" t="s">
        <v>6</v>
      </c>
      <c r="C113" s="117"/>
      <c r="D113" s="118"/>
      <c r="E113" s="111">
        <f>SUM(E14)/E$142</f>
        <v>2907.402</v>
      </c>
      <c r="F113" s="111">
        <f>SUM(F14)/F$142</f>
        <v>2791.19</v>
      </c>
      <c r="G113" s="111">
        <f>SUM(G14)/G$142</f>
        <v>2709.9760000000001</v>
      </c>
      <c r="H113" s="111">
        <f>SUM(H14)/H$142</f>
        <v>2676.5720000000001</v>
      </c>
      <c r="I113" s="111"/>
      <c r="J113" s="114"/>
      <c r="K113" s="108"/>
      <c r="L113" s="111">
        <f>SUM(L14)/L142</f>
        <v>12.029999999999994</v>
      </c>
      <c r="M113" s="111"/>
      <c r="N113" s="117"/>
      <c r="O113" s="118"/>
      <c r="P113" s="111">
        <f>SUM(P14)/P142</f>
        <v>93.547000000000025</v>
      </c>
      <c r="Q113" s="111">
        <f>SUM(Q14)/Q142</f>
        <v>227.99099999999999</v>
      </c>
      <c r="R113" s="111">
        <f>SUM(R14)/R142</f>
        <v>421.30099999999993</v>
      </c>
      <c r="S113" s="111">
        <f>SUM(S14)/S142</f>
        <v>708.3479999999995</v>
      </c>
      <c r="T113" s="111"/>
      <c r="U113" s="114"/>
      <c r="V113" s="108"/>
      <c r="W113" s="111">
        <f>SUM(W14)/W142</f>
        <v>71.09900000000016</v>
      </c>
      <c r="X113" s="111">
        <f>SUM(X14)/X142</f>
        <v>156.66300000000001</v>
      </c>
      <c r="Y113" s="111">
        <f>SUM(Y14)/Y142</f>
        <v>16.271000000000001</v>
      </c>
      <c r="Z113" s="111">
        <f>SUM(Z14)/Z142</f>
        <v>17.402000000000001</v>
      </c>
      <c r="AA113" s="111"/>
      <c r="AB113" s="114"/>
      <c r="AC113" s="108"/>
      <c r="AD113" s="111">
        <f>SUM(AD14)/AD142</f>
        <v>2478.1349999999998</v>
      </c>
      <c r="AE113" s="111"/>
      <c r="AF113" s="114"/>
      <c r="AG113" s="108"/>
      <c r="AH113" s="111">
        <f>SUM(AH14)/AH142</f>
        <v>1286.732</v>
      </c>
      <c r="AI113" s="111"/>
      <c r="AJ113" s="114"/>
      <c r="AK113" s="108"/>
      <c r="AL113" s="111">
        <f>SUM(AL14)/AL142</f>
        <v>442.22299999999996</v>
      </c>
      <c r="AM113" s="111"/>
      <c r="AN113" s="111"/>
      <c r="AO113" s="111"/>
      <c r="AP113" s="114"/>
      <c r="AQ113" s="108"/>
      <c r="AR113" s="111">
        <f>SUM(AR14)/AR142</f>
        <v>284.61599999999999</v>
      </c>
      <c r="AS113" s="111">
        <f>SUM(AS14)/AS142</f>
        <v>168.97299999999996</v>
      </c>
      <c r="AT113" s="111">
        <f>SUM(AT14)/AT142</f>
        <v>94.939999999999827</v>
      </c>
      <c r="AU113" s="111">
        <f>SUM(AU14)/AU142</f>
        <v>102.53700000000026</v>
      </c>
      <c r="AV113" s="111"/>
      <c r="AW113" s="114"/>
      <c r="AX113" s="108"/>
      <c r="AY113" s="111">
        <f>SUM(AY14)/AY142</f>
        <v>0</v>
      </c>
      <c r="AZ113" s="111"/>
      <c r="BA113" s="119"/>
      <c r="BB113" s="26"/>
      <c r="BC113" s="111">
        <f>SUM(BC14)/BC142</f>
        <v>0</v>
      </c>
      <c r="BD113" s="108"/>
      <c r="BE113" s="119"/>
      <c r="BF113" s="26"/>
      <c r="BG113" s="111">
        <f>SUM(BG14)/BG142</f>
        <v>28932</v>
      </c>
      <c r="BH113" s="111">
        <f>SUM(BH14)/BH142</f>
        <v>40834</v>
      </c>
      <c r="BI113" s="111">
        <f>SUM(BI14)/BI142</f>
        <v>10747.222222222221</v>
      </c>
      <c r="BJ113" s="111">
        <f>SUM(BJ14)/BJ142</f>
        <v>9500</v>
      </c>
      <c r="BK113" s="108"/>
      <c r="BL113" s="119"/>
      <c r="BM113" s="26"/>
      <c r="BN113" s="111">
        <f>SUM(BN14)/BN142</f>
        <v>2570.6410000000001</v>
      </c>
      <c r="BO113" s="111">
        <f>SUM(BO14)/BO142</f>
        <v>3110.6410000000001</v>
      </c>
      <c r="BP113" s="111">
        <f>SUM(BP14)/BP142</f>
        <v>1227.5719999999999</v>
      </c>
      <c r="BQ113" s="111">
        <f>SUM(BQ14)/BQ142</f>
        <v>2060.645</v>
      </c>
      <c r="BR113" s="108"/>
      <c r="BS113" s="114"/>
      <c r="BT113" s="111"/>
      <c r="BU113" s="111">
        <f>SUM(BU14)/BU142</f>
        <v>54.674999999999997</v>
      </c>
      <c r="BV113" s="108"/>
      <c r="BY113" s="111">
        <f>SUM(BY14)/BY142</f>
        <v>7642</v>
      </c>
      <c r="BZ113" s="111"/>
      <c r="CA113" s="114"/>
      <c r="CB113" s="108"/>
      <c r="CC113" s="111">
        <f>SUM(CC14)/CC142</f>
        <v>3012.3100000000013</v>
      </c>
      <c r="CD113" s="111">
        <f>SUM(CD14)/CD142</f>
        <v>4033.970689655172</v>
      </c>
      <c r="CE113" s="111">
        <f>SUM(CE14)/CE142</f>
        <v>1319.2809999999999</v>
      </c>
      <c r="CF113" s="111"/>
      <c r="CG113" s="114"/>
      <c r="CH113" s="108"/>
      <c r="CI113" s="111">
        <f>SUM(CI14)/CI142</f>
        <v>1685</v>
      </c>
      <c r="CJ113" s="111"/>
      <c r="CK113" s="114"/>
      <c r="CL113" s="108"/>
      <c r="CM113" s="111">
        <f>SUM(CM14)/CM142</f>
        <v>24.239000000000033</v>
      </c>
      <c r="CN113" s="111"/>
      <c r="CO113" s="111"/>
      <c r="CP113" s="111"/>
      <c r="CQ113" s="111"/>
      <c r="CR113" s="114"/>
      <c r="CS113" s="108"/>
      <c r="CT113" s="111">
        <f>SUM(CT14)/CT142</f>
        <v>177.69199999999995</v>
      </c>
      <c r="CU113" s="111"/>
      <c r="CV113" s="114"/>
      <c r="CW113" s="108"/>
      <c r="CX113" s="111">
        <f>SUM(CX14)/CX142</f>
        <v>74.511999999999944</v>
      </c>
      <c r="CY113" s="111"/>
      <c r="CZ113" s="111"/>
      <c r="DA113" s="111"/>
      <c r="DB113" s="114"/>
      <c r="DC113" s="108"/>
      <c r="DD113" s="111">
        <f>SUM(DD14)/DD142</f>
        <v>136.34700000000001</v>
      </c>
      <c r="DE113" s="111"/>
      <c r="DF113" s="114"/>
      <c r="DG113" s="108"/>
      <c r="DH113" s="111">
        <f>SUM(DH14)/DH142</f>
        <v>18253.46</v>
      </c>
      <c r="DI113" s="111"/>
      <c r="DJ113" s="111"/>
      <c r="DK113" s="111"/>
      <c r="DL113" s="111"/>
      <c r="DO113" s="111">
        <f>SUM(DO14)/DO142</f>
        <v>9707</v>
      </c>
      <c r="DP113" s="111"/>
      <c r="DQ113" s="111"/>
      <c r="DR113" s="111"/>
      <c r="DS113" s="111"/>
      <c r="DT113" s="114"/>
      <c r="DU113" s="108"/>
      <c r="DV113" s="111">
        <f>SUM(DV14)/DV142</f>
        <v>213.43899999999996</v>
      </c>
      <c r="DW113" s="111"/>
      <c r="DX113" s="114"/>
      <c r="DY113" s="108"/>
      <c r="DZ113" s="111">
        <f>SUM(DZ14)/DZ142</f>
        <v>21009</v>
      </c>
      <c r="EA113" s="111"/>
      <c r="ED113" s="111">
        <f>SUM(ED14)/ED142</f>
        <v>306.02800000000002</v>
      </c>
      <c r="EE113" s="111"/>
      <c r="EH113" s="111">
        <f>SUM(EH14)/EH142</f>
        <v>68.711000000000013</v>
      </c>
      <c r="EI113" s="111"/>
      <c r="EL113" s="111">
        <f>SUM(EL14)/EL142</f>
        <v>2107</v>
      </c>
      <c r="EM113" s="111"/>
      <c r="EP113" s="111">
        <f>SUM(EP14)/EP142</f>
        <v>151.38399999999956</v>
      </c>
      <c r="EQ113" s="111"/>
      <c r="ET113" s="111">
        <f>SUM(ET14)/ET142</f>
        <v>425.64400000000001</v>
      </c>
      <c r="EU113" s="111"/>
      <c r="EX113" s="111">
        <f>SUM(EX14)/EX142</f>
        <v>1178.2349999999999</v>
      </c>
      <c r="EY113" s="111"/>
      <c r="FB113" s="111">
        <f>SUM(FB14)/FB142</f>
        <v>111.922</v>
      </c>
      <c r="FC113" s="111"/>
      <c r="FF113" s="111">
        <f>SUM(FF14)/FF142</f>
        <v>5333</v>
      </c>
      <c r="FG113" s="111"/>
      <c r="FJ113" s="111">
        <f>SUM(FJ14)/FJ142</f>
        <v>708.68100000000049</v>
      </c>
      <c r="FK113" s="111"/>
      <c r="FN113" s="111">
        <f>SUM(FN14)/FN142</f>
        <v>0</v>
      </c>
      <c r="FO113" s="111"/>
      <c r="FR113" s="111">
        <f>SUM(FR14)/FR142</f>
        <v>0</v>
      </c>
      <c r="FS113" s="111"/>
      <c r="FV113" s="111">
        <f>SUM(FV14)/FV142</f>
        <v>2626.2979999999998</v>
      </c>
      <c r="FW113" s="111"/>
      <c r="FZ113" s="111">
        <f>SUM(FZ14)/FZ142</f>
        <v>809</v>
      </c>
      <c r="GA113" s="111"/>
      <c r="GD113" s="111">
        <f>SUM(GD14)/GD142</f>
        <v>749.02600000000007</v>
      </c>
      <c r="GE113" s="111"/>
      <c r="GH113" s="111">
        <f>SUM(GH14)/GH142</f>
        <v>18558.657999999999</v>
      </c>
      <c r="GI113" s="111"/>
      <c r="GL113" s="111">
        <f>SUM(GL14)/GL142</f>
        <v>6717.8679999999995</v>
      </c>
      <c r="GM113" s="111"/>
      <c r="GP113" s="111">
        <f>SUM(GP14)/GP142</f>
        <v>-34194</v>
      </c>
      <c r="GQ113" s="111"/>
      <c r="GT113" s="111">
        <f>SUM(GT14)/GT142</f>
        <v>0</v>
      </c>
      <c r="GU113" s="111"/>
      <c r="GX113" s="111">
        <f>SUM(GX14)/GX142</f>
        <v>794.75</v>
      </c>
      <c r="GY113" s="111"/>
      <c r="HB113" s="111">
        <f>SUM(HB14)/HB142</f>
        <v>0</v>
      </c>
      <c r="HC113" s="111"/>
      <c r="HF113" s="111">
        <f>SUM(HF14)/HF142</f>
        <v>2786.8710000000001</v>
      </c>
      <c r="HG113" s="111">
        <f>SUM(HG14)/HG142</f>
        <v>0</v>
      </c>
      <c r="HH113" s="111"/>
    </row>
    <row r="114" spans="1:256" x14ac:dyDescent="0.2">
      <c r="B114" s="5" t="s">
        <v>291</v>
      </c>
      <c r="C114" s="117"/>
      <c r="D114" s="118"/>
      <c r="E114" s="111">
        <f>SUM(E24)/E142</f>
        <v>1138.7029999999995</v>
      </c>
      <c r="F114" s="111">
        <f>SUM(F24)/F142</f>
        <v>1272.2400000000016</v>
      </c>
      <c r="G114" s="111">
        <f>SUM(G24)/G142</f>
        <v>834.58400000000029</v>
      </c>
      <c r="H114" s="111">
        <f>SUM(H24)/H142</f>
        <v>602.41899999999964</v>
      </c>
      <c r="I114" s="111"/>
      <c r="J114" s="114"/>
      <c r="K114" s="108"/>
      <c r="L114" s="111">
        <f>SUM(L24)/L142</f>
        <v>-223.13099999999997</v>
      </c>
      <c r="M114" s="111"/>
      <c r="N114" s="117"/>
      <c r="O114" s="118"/>
      <c r="P114" s="111">
        <f>SUM(P24)/P142</f>
        <v>343.67699999999991</v>
      </c>
      <c r="Q114" s="111">
        <f>SUM(Q24)/Q142</f>
        <v>259.21199999999999</v>
      </c>
      <c r="R114" s="111">
        <f>SUM(R24)/R142</f>
        <v>178.19400000000007</v>
      </c>
      <c r="S114" s="111">
        <f>SUM(S24)/S142</f>
        <v>292.06099999999941</v>
      </c>
      <c r="T114" s="111"/>
      <c r="U114" s="114"/>
      <c r="V114" s="108"/>
      <c r="W114" s="111">
        <f>SUM(W24)/W142</f>
        <v>663.84299999999985</v>
      </c>
      <c r="X114" s="111">
        <f>SUM(X24)/X142</f>
        <v>154.56100000000015</v>
      </c>
      <c r="Y114" s="111">
        <f>SUM(Y24)/Y142</f>
        <v>402.48099999999954</v>
      </c>
      <c r="Z114" s="111">
        <f>SUM(Z24)/Z142</f>
        <v>394.46699999999998</v>
      </c>
      <c r="AA114" s="111"/>
      <c r="AB114" s="114"/>
      <c r="AC114" s="108"/>
      <c r="AD114" s="111">
        <f>SUM(AD24)/AD142</f>
        <v>728.99300000000017</v>
      </c>
      <c r="AE114" s="111"/>
      <c r="AF114" s="114"/>
      <c r="AG114" s="108"/>
      <c r="AH114" s="111">
        <f>SUM(AH24)/AH142</f>
        <v>267.57799999999986</v>
      </c>
      <c r="AI114" s="111"/>
      <c r="AJ114" s="114"/>
      <c r="AK114" s="108"/>
      <c r="AL114" s="111">
        <f>SUM(AL24)/AL142</f>
        <v>20.054999999999986</v>
      </c>
      <c r="AM114" s="111"/>
      <c r="AN114" s="111"/>
      <c r="AO114" s="111"/>
      <c r="AP114" s="114"/>
      <c r="AQ114" s="108"/>
      <c r="AR114" s="111">
        <f>SUM(AR24)/AR142</f>
        <v>667.0809999999999</v>
      </c>
      <c r="AS114" s="111">
        <f>SUM(AS24)/AS142</f>
        <v>496.31500000000005</v>
      </c>
      <c r="AT114" s="111">
        <f>SUM(AT24)/AT142</f>
        <v>281.29099999999994</v>
      </c>
      <c r="AU114" s="111">
        <f>SUM(AU24)/AU142</f>
        <v>326.39900000000011</v>
      </c>
      <c r="AV114" s="111"/>
      <c r="AW114" s="114"/>
      <c r="AX114" s="108"/>
      <c r="AY114" s="111">
        <f>SUM(AY24)/AY142</f>
        <v>175</v>
      </c>
      <c r="AZ114" s="111"/>
      <c r="BA114" s="119"/>
      <c r="BB114" s="26"/>
      <c r="BC114" s="111">
        <f>SUM(BC24)/BC142</f>
        <v>1544.5699999999981</v>
      </c>
      <c r="BD114" s="108"/>
      <c r="BE114" s="119"/>
      <c r="BF114" s="26"/>
      <c r="BG114" s="111">
        <f>SUM(BG24)/BG142</f>
        <v>12616</v>
      </c>
      <c r="BH114" s="111">
        <f>SUM(BH24)/BH142</f>
        <v>13978</v>
      </c>
      <c r="BI114" s="111">
        <f>SUM(BI24)/BI142</f>
        <v>3701.8518518518517</v>
      </c>
      <c r="BJ114" s="111">
        <f>SUM(BJ24)/BJ142</f>
        <v>-2512.5</v>
      </c>
      <c r="BK114" s="108"/>
      <c r="BL114" s="119"/>
      <c r="BM114" s="26"/>
      <c r="BN114" s="111">
        <f>SUM(BN24)/BN142</f>
        <v>306.09699999999998</v>
      </c>
      <c r="BO114" s="111">
        <f>SUM(BO24)/BO142</f>
        <v>2461.9120000000003</v>
      </c>
      <c r="BP114" s="111">
        <f>SUM(BP24)/BP142</f>
        <v>889.28399999999931</v>
      </c>
      <c r="BQ114" s="111">
        <f>SUM(BQ24)/BQ142</f>
        <v>1308.9130000000002</v>
      </c>
      <c r="BR114" s="108"/>
      <c r="BS114" s="114"/>
      <c r="BT114" s="111"/>
      <c r="BU114" s="111">
        <f>SUM(BU24)/BU142</f>
        <v>72.884000000000043</v>
      </c>
      <c r="BV114" s="108"/>
      <c r="BY114" s="111">
        <f>SUM(BY24)/BY142</f>
        <v>2469</v>
      </c>
      <c r="BZ114" s="111"/>
      <c r="CA114" s="114"/>
      <c r="CB114" s="108"/>
      <c r="CC114" s="111">
        <f>SUM(CC24)/CC142</f>
        <v>1303.4570000000008</v>
      </c>
      <c r="CD114" s="111">
        <f>SUM(CD24)/CD142</f>
        <v>437.63103448275814</v>
      </c>
      <c r="CE114" s="111">
        <f>SUM(CE24)/CE142</f>
        <v>156.43599999999975</v>
      </c>
      <c r="CF114" s="111"/>
      <c r="CG114" s="114"/>
      <c r="CH114" s="108"/>
      <c r="CI114" s="111">
        <f>SUM(CI24)/CI142</f>
        <v>1664</v>
      </c>
      <c r="CJ114" s="111"/>
      <c r="CK114" s="114"/>
      <c r="CL114" s="108"/>
      <c r="CM114" s="111">
        <f>SUM(CM24)/CM142</f>
        <v>144.80200000000002</v>
      </c>
      <c r="CN114" s="111"/>
      <c r="CO114" s="111"/>
      <c r="CP114" s="111"/>
      <c r="CQ114" s="111"/>
      <c r="CR114" s="114"/>
      <c r="CS114" s="108"/>
      <c r="CT114" s="111">
        <f>SUM(CT24)/CT142</f>
        <v>-222.35800000000006</v>
      </c>
      <c r="CU114" s="111"/>
      <c r="CV114" s="114"/>
      <c r="CW114" s="108"/>
      <c r="CX114" s="111">
        <f>SUM(CX24)/CX142</f>
        <v>154.24399999999997</v>
      </c>
      <c r="CY114" s="111"/>
      <c r="CZ114" s="111"/>
      <c r="DA114" s="111"/>
      <c r="DB114" s="114"/>
      <c r="DC114" s="108"/>
      <c r="DD114" s="111">
        <f>SUM(DD24)/DD142</f>
        <v>1591.4349999999997</v>
      </c>
      <c r="DE114" s="111"/>
      <c r="DF114" s="114"/>
      <c r="DG114" s="108"/>
      <c r="DH114" s="111">
        <f>SUM(DH24)/DH142</f>
        <v>18518.870999999999</v>
      </c>
      <c r="DI114" s="111"/>
      <c r="DJ114" s="111"/>
      <c r="DK114" s="111"/>
      <c r="DL114" s="111"/>
      <c r="DO114" s="111">
        <f>SUM(DO24)/DO142</f>
        <v>4533</v>
      </c>
      <c r="DP114" s="111"/>
      <c r="DQ114" s="111"/>
      <c r="DR114" s="111"/>
      <c r="DS114" s="111"/>
      <c r="DT114" s="114"/>
      <c r="DU114" s="108"/>
      <c r="DV114" s="111">
        <f>SUM(DV24)/DV142</f>
        <v>-91.413999999999987</v>
      </c>
      <c r="DW114" s="111"/>
      <c r="DX114" s="114"/>
      <c r="DY114" s="108"/>
      <c r="DZ114" s="111">
        <f>SUM(DZ24)/DZ142</f>
        <v>22167</v>
      </c>
      <c r="EA114" s="111"/>
      <c r="ED114" s="111">
        <f>SUM(ED24)/ED142</f>
        <v>6503.996000000001</v>
      </c>
      <c r="EE114" s="111"/>
      <c r="EH114" s="111">
        <f>SUM(EH24)/EH142</f>
        <v>86.463000000000008</v>
      </c>
      <c r="EI114" s="111"/>
      <c r="EL114" s="111">
        <f>SUM(EL24)/EL142</f>
        <v>-511</v>
      </c>
      <c r="EM114" s="111"/>
      <c r="EP114" s="111">
        <f>SUM(EP24)/EP142</f>
        <v>717.81799999999987</v>
      </c>
      <c r="EQ114" s="111"/>
      <c r="ET114" s="111">
        <f>SUM(ET24)/ET142</f>
        <v>281.48700000000025</v>
      </c>
      <c r="EU114" s="111"/>
      <c r="EX114" s="111">
        <f>SUM(EX24)/EX142</f>
        <v>46.102999999999966</v>
      </c>
      <c r="EY114" s="111"/>
      <c r="FB114" s="111">
        <f>SUM(FB24)/FB142</f>
        <v>65.739999999999995</v>
      </c>
      <c r="FC114" s="111"/>
      <c r="FF114" s="111">
        <f>SUM(FF24)/FF142</f>
        <v>4965</v>
      </c>
      <c r="FG114" s="111"/>
      <c r="FJ114" s="111">
        <f>SUM(FJ24)/FJ142</f>
        <v>612.96900000000028</v>
      </c>
      <c r="FK114" s="111"/>
      <c r="FN114" s="111">
        <f>SUM(FN24)/FN142</f>
        <v>1391.6669999999947</v>
      </c>
      <c r="FO114" s="111"/>
      <c r="FR114" s="111">
        <f>SUM(FR24)/FR142</f>
        <v>957.23800000000028</v>
      </c>
      <c r="FS114" s="111"/>
      <c r="FV114" s="111">
        <f>SUM(FV24)/FV142</f>
        <v>864.78299999999967</v>
      </c>
      <c r="FW114" s="111"/>
      <c r="FZ114" s="111">
        <f>SUM(FZ24)/FZ142</f>
        <v>4065</v>
      </c>
      <c r="GA114" s="111"/>
      <c r="GD114" s="111">
        <f>SUM(GD24)/GD142</f>
        <v>88.617000000000104</v>
      </c>
      <c r="GE114" s="111"/>
      <c r="GH114" s="111">
        <f>SUM(GH24)/GH142</f>
        <v>1530.0200000000027</v>
      </c>
      <c r="GI114" s="111"/>
      <c r="GL114" s="111">
        <f>SUM(GL24)/GL142</f>
        <v>-1894.3130000000001</v>
      </c>
      <c r="GM114" s="111"/>
      <c r="GP114" s="111">
        <f>SUM(GP24)/GP142</f>
        <v>-39587</v>
      </c>
      <c r="GQ114" s="111"/>
      <c r="GT114" s="111">
        <f>SUM(GT24)/GT142</f>
        <v>7.1428571428571432</v>
      </c>
      <c r="GU114" s="111"/>
      <c r="GX114" s="111">
        <f>SUM(GX24)/GX142</f>
        <v>702.83799999999997</v>
      </c>
      <c r="GY114" s="111"/>
      <c r="HB114" s="111">
        <f>SUM(HB24)/HB142</f>
        <v>1416.6670000000011</v>
      </c>
      <c r="HC114" s="111"/>
      <c r="HF114" s="111">
        <f>SUM(HF24)/HF142</f>
        <v>338.36700000000178</v>
      </c>
      <c r="HG114" s="111">
        <f>SUM(HG24)/HG142</f>
        <v>261.59699999999765</v>
      </c>
      <c r="HH114" s="111"/>
    </row>
    <row r="115" spans="1:256" x14ac:dyDescent="0.2">
      <c r="A115" s="74"/>
      <c r="B115" s="5" t="s">
        <v>292</v>
      </c>
      <c r="C115" s="106"/>
      <c r="D115" s="107"/>
      <c r="E115" s="55">
        <f>(E16+E17-E11)/E142</f>
        <v>235.35399999999998</v>
      </c>
      <c r="F115" s="55">
        <f>(F16+F17-F11)/F142</f>
        <v>207.066</v>
      </c>
      <c r="G115" s="55">
        <f>(G16+G17-G11)/G142</f>
        <v>83.960999999999984</v>
      </c>
      <c r="H115" s="55">
        <f>(H16+H17-H11)/H142</f>
        <v>110.669</v>
      </c>
      <c r="I115" s="55"/>
      <c r="J115" s="114"/>
      <c r="K115" s="108"/>
      <c r="L115" s="55">
        <f>(L16+L17-L11)/L142</f>
        <v>0</v>
      </c>
      <c r="M115" s="120"/>
      <c r="N115" s="106"/>
      <c r="O115" s="107"/>
      <c r="P115" s="55">
        <f>(P16+P17-P11)/P142</f>
        <v>3.4580000000000055</v>
      </c>
      <c r="Q115" s="55">
        <f>(Q16+Q17-Q11)/Q142</f>
        <v>105.18699999999998</v>
      </c>
      <c r="R115" s="55">
        <f>(R16+R17-R11)/R142</f>
        <v>-151.233</v>
      </c>
      <c r="S115" s="55">
        <f>(S16+S17-S11)/S142</f>
        <v>560.58000000000004</v>
      </c>
      <c r="T115" s="120"/>
      <c r="U115" s="114"/>
      <c r="V115" s="108"/>
      <c r="W115" s="55">
        <f>(W16+W17-W11)/W142</f>
        <v>98.296999999999997</v>
      </c>
      <c r="X115" s="55">
        <f>(X16+X17-X11)/X142</f>
        <v>636.54700000000014</v>
      </c>
      <c r="Y115" s="55">
        <f>(Y16+Y17-Y11)/Y142</f>
        <v>268.12399999999997</v>
      </c>
      <c r="Z115" s="55">
        <f>(Z16+Z17-Z11)/Z142</f>
        <v>167.14600000000002</v>
      </c>
      <c r="AA115" s="120"/>
      <c r="AB115" s="114"/>
      <c r="AC115" s="108"/>
      <c r="AD115" s="55">
        <f>(AD16+AD17-AD11)/AD142</f>
        <v>229.51000000000002</v>
      </c>
      <c r="AE115" s="120"/>
      <c r="AF115" s="114"/>
      <c r="AG115" s="108"/>
      <c r="AH115" s="55">
        <f>(AH16+AH17-AH11)/AH142</f>
        <v>156.5</v>
      </c>
      <c r="AI115" s="120"/>
      <c r="AJ115" s="114"/>
      <c r="AK115" s="108"/>
      <c r="AL115" s="55">
        <f>(AL16+AL17-AL11)/AL142</f>
        <v>50.932000000000002</v>
      </c>
      <c r="AM115" s="120"/>
      <c r="AN115" s="120"/>
      <c r="AO115" s="120"/>
      <c r="AP115" s="114"/>
      <c r="AQ115" s="108"/>
      <c r="AR115" s="55">
        <f>(AR16+AR17-AR11)/AR142</f>
        <v>300.96400000000006</v>
      </c>
      <c r="AS115" s="55">
        <f>(AS16+AS17-AS11)/AS142</f>
        <v>197.006</v>
      </c>
      <c r="AT115" s="55">
        <f>(AT16+AT17-AT11)/AT142</f>
        <v>245.85800000000003</v>
      </c>
      <c r="AU115" s="55">
        <f>(AU16+AU17-AU11)/AU142</f>
        <v>126.49900000000001</v>
      </c>
      <c r="AV115" s="120"/>
      <c r="AW115" s="114"/>
      <c r="AX115" s="108"/>
      <c r="AY115" s="55">
        <f>(AY16+AY17-AY11)/AY142</f>
        <v>0</v>
      </c>
      <c r="AZ115" s="120"/>
      <c r="BA115" s="119"/>
      <c r="BB115" s="26"/>
      <c r="BC115" s="55">
        <f>(BC16+BC17-BC11)/BC142</f>
        <v>383.4</v>
      </c>
      <c r="BD115" s="110"/>
      <c r="BE115" s="119"/>
      <c r="BF115" s="26"/>
      <c r="BG115" s="55">
        <f>(BG16+BG17-BG11)/BG142</f>
        <v>4183</v>
      </c>
      <c r="BH115" s="55">
        <f>(BH16+BH17-BH11)/BH142</f>
        <v>9348</v>
      </c>
      <c r="BI115" s="55">
        <f>(BI16+BI17-BI11)/BI142</f>
        <v>4253.7037037037035</v>
      </c>
      <c r="BJ115" s="55">
        <f>(BJ16+BJ17-BJ11)/BJ142</f>
        <v>0</v>
      </c>
      <c r="BK115" s="110"/>
      <c r="BL115" s="119"/>
      <c r="BM115" s="26"/>
      <c r="BN115" s="55">
        <f>(BN16+BN17-BN11)/BN142</f>
        <v>2112.4699999999998</v>
      </c>
      <c r="BO115" s="55">
        <f>(BO16+BO17-BO11)/BO142</f>
        <v>1039.4650000000001</v>
      </c>
      <c r="BP115" s="55">
        <f>(BP16+BP17-BP11)/BP142</f>
        <v>635.56200000000001</v>
      </c>
      <c r="BQ115" s="55">
        <f>(BQ16+BQ17-BQ11)/BQ142</f>
        <v>468.07799999999997</v>
      </c>
      <c r="BR115" s="110"/>
      <c r="BS115" s="114"/>
      <c r="BT115" s="55"/>
      <c r="BU115" s="55">
        <f>(BU16+BU17-BU11)/BU142</f>
        <v>25</v>
      </c>
      <c r="BV115" s="110"/>
      <c r="BY115" s="55">
        <f>(BY16+BY17-BY11)/BY142</f>
        <v>-413</v>
      </c>
      <c r="BZ115" s="120"/>
      <c r="CA115" s="109"/>
      <c r="CB115" s="110"/>
      <c r="CC115" s="55">
        <f>(CC16+CC17-CC11)/CC142</f>
        <v>0</v>
      </c>
      <c r="CD115" s="55">
        <f>(CD16+CD17-CD11)/CD142</f>
        <v>0</v>
      </c>
      <c r="CE115" s="55">
        <f>(CE16+CE17-CE11)/CE142</f>
        <v>0</v>
      </c>
      <c r="CF115" s="120"/>
      <c r="CG115" s="114"/>
      <c r="CH115" s="108"/>
      <c r="CI115" s="55">
        <f>(CI16+CI17-CI11)/CI142</f>
        <v>743</v>
      </c>
      <c r="CJ115" s="120"/>
      <c r="CK115" s="114"/>
      <c r="CL115" s="108"/>
      <c r="CM115" s="55">
        <f>(CM16+CM17-CM11)/CM142</f>
        <v>103.33</v>
      </c>
      <c r="CN115" s="120"/>
      <c r="CO115" s="120"/>
      <c r="CP115" s="120"/>
      <c r="CQ115" s="120"/>
      <c r="CR115" s="114"/>
      <c r="CS115" s="108"/>
      <c r="CT115" s="55">
        <f>(CT16+CT17-CT11)/CT142</f>
        <v>152.30100000000002</v>
      </c>
      <c r="CU115" s="120"/>
      <c r="CV115" s="114"/>
      <c r="CW115" s="108"/>
      <c r="CX115" s="55">
        <f>(CX16+CX17-CX11)/CX142</f>
        <v>144.29500000000002</v>
      </c>
      <c r="CY115" s="120"/>
      <c r="CZ115" s="120"/>
      <c r="DA115" s="120"/>
      <c r="DB115" s="114"/>
      <c r="DC115" s="108"/>
      <c r="DD115" s="55">
        <f>(DD16+DD17-DD11)/DD142</f>
        <v>0</v>
      </c>
      <c r="DE115" s="120"/>
      <c r="DF115" s="114"/>
      <c r="DG115" s="108"/>
      <c r="DH115" s="55">
        <f>(DH16+DH17-DH11)/DH142</f>
        <v>171.98999999999998</v>
      </c>
      <c r="DI115" s="120"/>
      <c r="DJ115" s="120"/>
      <c r="DK115" s="120"/>
      <c r="DL115" s="120"/>
      <c r="DO115" s="55">
        <f>(DO16+DO17-DO11)/DO142</f>
        <v>4777</v>
      </c>
      <c r="DP115" s="120"/>
      <c r="DQ115" s="120"/>
      <c r="DR115" s="120"/>
      <c r="DS115" s="120"/>
      <c r="DT115" s="114"/>
      <c r="DU115" s="108"/>
      <c r="DV115" s="55">
        <f>(DV16+DV17-DV11)/DV142</f>
        <v>230.83600000000001</v>
      </c>
      <c r="DW115" s="120"/>
      <c r="DX115" s="114"/>
      <c r="DY115" s="108"/>
      <c r="DZ115" s="55">
        <f>(DZ16+DZ17-DZ11)/DZ142</f>
        <v>2043</v>
      </c>
      <c r="EA115" s="120"/>
      <c r="ED115" s="55">
        <f>(ED16+ED17-ED11)/ED142</f>
        <v>0</v>
      </c>
      <c r="EE115" s="120"/>
      <c r="EH115" s="55">
        <f>(EH16+EH17-EH11)/EH142</f>
        <v>48</v>
      </c>
      <c r="EI115" s="120"/>
      <c r="EL115" s="55">
        <f>(EL16+EL17-EL11)/EL142</f>
        <v>3017</v>
      </c>
      <c r="EM115" s="120"/>
      <c r="EP115" s="55">
        <f>(EP16+EP17-EP11)/EP142</f>
        <v>164.98000000000002</v>
      </c>
      <c r="EQ115" s="120"/>
      <c r="ET115" s="55">
        <f>(ET16+ET17-ET11)/ET142</f>
        <v>161.86600000000001</v>
      </c>
      <c r="EU115" s="120"/>
      <c r="EX115" s="55">
        <f>(EX16+EX17-EX11)/EX142</f>
        <v>0</v>
      </c>
      <c r="EY115" s="120"/>
      <c r="FB115" s="55">
        <f>(FB16+FB17-FB11)/FB142</f>
        <v>0</v>
      </c>
      <c r="FC115" s="120"/>
      <c r="FF115" s="170">
        <f>(FF16+FF17-FF11)/FF142</f>
        <v>1254</v>
      </c>
      <c r="FG115" s="120"/>
      <c r="FJ115" s="55">
        <f>(FJ16+FJ17-FJ11)/FJ142</f>
        <v>437.61900000000003</v>
      </c>
      <c r="FK115" s="120"/>
      <c r="FN115" s="55">
        <f>(FN16+FN17-FN11)/FN142</f>
        <v>0</v>
      </c>
      <c r="FO115" s="120"/>
      <c r="FR115" s="55">
        <f>(FR16+FR17-FR11)/FR142</f>
        <v>0</v>
      </c>
      <c r="FS115" s="120"/>
      <c r="FV115" s="55">
        <f>(FV16+FV17-FV11)/FV142</f>
        <v>53.94</v>
      </c>
      <c r="FW115" s="120"/>
      <c r="FZ115" s="55">
        <f>(FZ16+FZ17-FZ11)/FZ142</f>
        <v>1490</v>
      </c>
      <c r="GA115" s="120"/>
      <c r="GD115" s="55">
        <f>(GD16+GD17-GD11)/GD142</f>
        <v>0</v>
      </c>
      <c r="GE115" s="120"/>
      <c r="GH115" s="55">
        <f>(GH16+GH17-GH11)/GH142</f>
        <v>1045.28</v>
      </c>
      <c r="GI115" s="120"/>
      <c r="GL115" s="55">
        <f>(GL16+GL17-GL11)/GL142</f>
        <v>757.77699999999993</v>
      </c>
      <c r="GM115" s="120"/>
      <c r="GP115" s="55">
        <f>(GP16+GP17-GP11)/GP142</f>
        <v>11031</v>
      </c>
      <c r="GQ115" s="120"/>
      <c r="GT115" s="55">
        <f>(GT16+GT17-GT11)/GT142</f>
        <v>0</v>
      </c>
      <c r="GU115" s="120"/>
      <c r="GX115" s="55">
        <f>(GX16+GX17-GX11)/GX142</f>
        <v>190.988</v>
      </c>
      <c r="GY115" s="120"/>
      <c r="HB115" s="55">
        <f>(HB16+HB17-HB11)/HB142</f>
        <v>0</v>
      </c>
      <c r="HC115" s="120"/>
      <c r="HF115" s="55">
        <f>(HF16+HF17-HF11)/HF142</f>
        <v>0</v>
      </c>
      <c r="HG115" s="55">
        <f>(HG16+HG17-HG11)/HG142</f>
        <v>0</v>
      </c>
      <c r="HH115" s="120"/>
    </row>
    <row r="116" spans="1:256" x14ac:dyDescent="0.2">
      <c r="B116" s="5" t="s">
        <v>293</v>
      </c>
      <c r="C116" s="117"/>
      <c r="D116" s="118"/>
      <c r="E116" s="171">
        <f>(E17-E11)/E142</f>
        <v>110.354</v>
      </c>
      <c r="F116" s="171">
        <f>(F17-F11)/F142</f>
        <v>7.0659999999999989</v>
      </c>
      <c r="G116" s="171">
        <f>(G17-G11)/G142</f>
        <v>-116.03900000000002</v>
      </c>
      <c r="H116" s="171">
        <f>(H17-H11)/H142</f>
        <v>110.669</v>
      </c>
      <c r="I116" s="171"/>
      <c r="J116" s="114"/>
      <c r="K116" s="108"/>
      <c r="L116" s="171">
        <f>(L17-L11)/L142</f>
        <v>0</v>
      </c>
      <c r="M116" s="150"/>
      <c r="N116" s="117"/>
      <c r="O116" s="118"/>
      <c r="P116" s="171">
        <f>(P17-P11)/P142</f>
        <v>23.545999999999999</v>
      </c>
      <c r="Q116" s="171">
        <f>(Q17-Q11)/Q142</f>
        <v>134.88499999999999</v>
      </c>
      <c r="R116" s="171">
        <f>(R17-R11)/R142</f>
        <v>214.86700000000002</v>
      </c>
      <c r="S116" s="171">
        <f>(S17-S11)/S142</f>
        <v>96.728999999999999</v>
      </c>
      <c r="T116" s="150"/>
      <c r="U116" s="114"/>
      <c r="V116" s="108"/>
      <c r="W116" s="171">
        <f>(W17-W11)/W142</f>
        <v>61.29699999999999</v>
      </c>
      <c r="X116" s="171">
        <f>(X17-X11)/X142</f>
        <v>869.0200000000001</v>
      </c>
      <c r="Y116" s="171">
        <f>(Y17-Y11)/Y142</f>
        <v>0.90200000000000014</v>
      </c>
      <c r="Z116" s="171">
        <f>(Z17-Z11)/Z142</f>
        <v>267.11900000000003</v>
      </c>
      <c r="AA116" s="150"/>
      <c r="AB116" s="114"/>
      <c r="AC116" s="108"/>
      <c r="AD116" s="171">
        <f>(AD17-AD11)/AD142</f>
        <v>184.51000000000002</v>
      </c>
      <c r="AE116" s="150"/>
      <c r="AF116" s="114"/>
      <c r="AG116" s="108"/>
      <c r="AH116" s="171">
        <f>(AH17-AH11)/AH142</f>
        <v>0</v>
      </c>
      <c r="AI116" s="150"/>
      <c r="AJ116" s="114"/>
      <c r="AK116" s="108"/>
      <c r="AL116" s="171">
        <f>(AL17-AL11)/AL142</f>
        <v>50.932000000000002</v>
      </c>
      <c r="AM116" s="150"/>
      <c r="AN116" s="150"/>
      <c r="AO116" s="150"/>
      <c r="AP116" s="114"/>
      <c r="AQ116" s="108"/>
      <c r="AR116" s="171">
        <f>(AR17-AR11)/AR142</f>
        <v>121.369</v>
      </c>
      <c r="AS116" s="171">
        <f>(AS17-AS11)/AS142</f>
        <v>118.881</v>
      </c>
      <c r="AT116" s="171">
        <f>(AT17-AT11)/AT142</f>
        <v>141.94200000000001</v>
      </c>
      <c r="AU116" s="171">
        <f>(AU17-AU11)/AU142</f>
        <v>79.445999999999998</v>
      </c>
      <c r="AV116" s="150"/>
      <c r="AW116" s="114"/>
      <c r="AX116" s="108"/>
      <c r="AY116" s="171">
        <f>(AY17-AY11)/AY142</f>
        <v>0</v>
      </c>
      <c r="AZ116" s="150"/>
      <c r="BA116" s="151"/>
      <c r="BB116" s="152"/>
      <c r="BC116" s="171">
        <f>(BC17-BC11)/BC142</f>
        <v>383.4</v>
      </c>
      <c r="BD116" s="153"/>
      <c r="BE116" s="151"/>
      <c r="BF116" s="152"/>
      <c r="BG116" s="171">
        <f>(BG17-BG11)/BG142</f>
        <v>10079</v>
      </c>
      <c r="BH116" s="171">
        <f>(BH17-BH11)/BH142</f>
        <v>5660</v>
      </c>
      <c r="BI116" s="171">
        <f>(BI17-BI11)/BI142</f>
        <v>710.18518518518511</v>
      </c>
      <c r="BJ116" s="171">
        <f>(BJ17-BJ11)/BJ142</f>
        <v>0</v>
      </c>
      <c r="BK116" s="153"/>
      <c r="BL116" s="151"/>
      <c r="BM116" s="152"/>
      <c r="BN116" s="171">
        <f>(BN17-BN11)/BN142</f>
        <v>994.21499999999992</v>
      </c>
      <c r="BO116" s="171">
        <f>(BO17-BO11)/BO142</f>
        <v>739.46499999999992</v>
      </c>
      <c r="BP116" s="171">
        <f>(BP17-BP11)/BP142</f>
        <v>535.56200000000001</v>
      </c>
      <c r="BQ116" s="171">
        <f>(BQ17-BQ11)/BQ142</f>
        <v>418.07799999999997</v>
      </c>
      <c r="BR116" s="153"/>
      <c r="BS116" s="114"/>
      <c r="BT116" s="171"/>
      <c r="BU116" s="171">
        <f>(BU17-BU11)/BU142</f>
        <v>0</v>
      </c>
      <c r="BV116" s="153"/>
      <c r="BY116" s="171">
        <f>(BY17-BY11)/BY142</f>
        <v>-413</v>
      </c>
      <c r="BZ116" s="150"/>
      <c r="CA116" s="172"/>
      <c r="CB116" s="173"/>
      <c r="CC116" s="171">
        <f>(CC17-CC11)/CC142</f>
        <v>0</v>
      </c>
      <c r="CD116" s="171">
        <f>(CD17-CD11)/CD142</f>
        <v>0</v>
      </c>
      <c r="CE116" s="171">
        <f>(CE17-CE11)/CE142</f>
        <v>0</v>
      </c>
      <c r="CF116" s="150"/>
      <c r="CG116" s="114"/>
      <c r="CH116" s="108"/>
      <c r="CI116" s="171">
        <f>(CI17-CI11)/CI142</f>
        <v>743</v>
      </c>
      <c r="CJ116" s="150"/>
      <c r="CK116" s="114"/>
      <c r="CL116" s="108"/>
      <c r="CM116" s="171">
        <f>(CM17-CM11)/CM142</f>
        <v>61.155000000000001</v>
      </c>
      <c r="CN116" s="150"/>
      <c r="CO116" s="150"/>
      <c r="CP116" s="150"/>
      <c r="CQ116" s="150"/>
      <c r="CR116" s="114"/>
      <c r="CS116" s="108"/>
      <c r="CT116" s="171">
        <f>(CT17-CT11)/CT142</f>
        <v>0.93</v>
      </c>
      <c r="CU116" s="150"/>
      <c r="CV116" s="114"/>
      <c r="CW116" s="108"/>
      <c r="CX116" s="171">
        <f>(CX17-CX11)/CX142</f>
        <v>57.295000000000002</v>
      </c>
      <c r="CY116" s="150"/>
      <c r="CZ116" s="150"/>
      <c r="DA116" s="150"/>
      <c r="DB116" s="114"/>
      <c r="DC116" s="108"/>
      <c r="DD116" s="171">
        <f>(DD17-DD11)/DD142</f>
        <v>0</v>
      </c>
      <c r="DE116" s="150"/>
      <c r="DF116" s="114"/>
      <c r="DG116" s="108"/>
      <c r="DH116" s="171">
        <f>(DH17-DH11)/DH142</f>
        <v>3.7729999999999961</v>
      </c>
      <c r="DI116" s="150"/>
      <c r="DJ116" s="150"/>
      <c r="DK116" s="150"/>
      <c r="DL116" s="150"/>
      <c r="DO116" s="171">
        <f>(DO17-DO11)/DO142</f>
        <v>3796</v>
      </c>
      <c r="DP116" s="150"/>
      <c r="DQ116" s="150"/>
      <c r="DR116" s="150"/>
      <c r="DS116" s="150"/>
      <c r="DT116" s="114"/>
      <c r="DU116" s="108"/>
      <c r="DV116" s="171">
        <f>(DV17-DV11)/DV142</f>
        <v>155.83600000000001</v>
      </c>
      <c r="DW116" s="150"/>
      <c r="DX116" s="114"/>
      <c r="DY116" s="108"/>
      <c r="DZ116" s="171">
        <f>(DZ17-DZ11)/DZ142</f>
        <v>1230</v>
      </c>
      <c r="EA116" s="150"/>
      <c r="ED116" s="171">
        <f>(ED17-ED11)/ED142</f>
        <v>0</v>
      </c>
      <c r="EE116" s="150"/>
      <c r="EH116" s="171">
        <f>(EH17-EH11)/EH142</f>
        <v>48</v>
      </c>
      <c r="EI116" s="150"/>
      <c r="EL116" s="171">
        <f>(EL17-EL11)/EL142</f>
        <v>2094</v>
      </c>
      <c r="EM116" s="150"/>
      <c r="EP116" s="171">
        <f>(EP17-EP11)/EP142</f>
        <v>55.8</v>
      </c>
      <c r="EQ116" s="150"/>
      <c r="ET116" s="171">
        <f>(ET17-ET11)/ET142</f>
        <v>0</v>
      </c>
      <c r="EU116" s="150"/>
      <c r="EX116" s="171">
        <f>(EX17-EX11)/EX142</f>
        <v>0</v>
      </c>
      <c r="EY116" s="174"/>
      <c r="FB116" s="171">
        <f>(FB17-FB11)/FB142</f>
        <v>0</v>
      </c>
      <c r="FC116" s="150"/>
      <c r="FF116" s="171">
        <f>(FF17-FF11)/FF142</f>
        <v>2953</v>
      </c>
      <c r="FG116" s="150"/>
      <c r="FJ116" s="171">
        <f>(FJ17-FJ11)/FJ142</f>
        <v>255.322</v>
      </c>
      <c r="FK116" s="150"/>
      <c r="FN116" s="171">
        <f>(FN17-FN11)/FN142</f>
        <v>0</v>
      </c>
      <c r="FO116" s="150"/>
      <c r="FR116" s="171">
        <f>(FR17-FR11)/FR142</f>
        <v>0</v>
      </c>
      <c r="FS116" s="150"/>
      <c r="FV116" s="171">
        <f>(FV17-FV11)/FV142</f>
        <v>53.94</v>
      </c>
      <c r="FW116" s="150"/>
      <c r="FZ116" s="171">
        <f>(FZ17-FZ11)/FZ142</f>
        <v>0</v>
      </c>
      <c r="GA116" s="150"/>
      <c r="GD116" s="171">
        <f>(GD17-GD11)/GD142</f>
        <v>0</v>
      </c>
      <c r="GE116" s="150"/>
      <c r="GH116" s="171">
        <f>(GH17-GH11)/GH142</f>
        <v>0</v>
      </c>
      <c r="GI116" s="150"/>
      <c r="GL116" s="171">
        <f>(GL17-GL11)/GL142</f>
        <v>206.17</v>
      </c>
      <c r="GM116" s="150"/>
      <c r="GP116" s="171">
        <f>(GP17-GP11)/GP142</f>
        <v>11031</v>
      </c>
      <c r="GQ116" s="150"/>
      <c r="GT116" s="171">
        <f>(GT17-GT11)/GT142</f>
        <v>0</v>
      </c>
      <c r="GU116" s="150"/>
      <c r="GX116" s="171">
        <f>(GX17-GX11)/GX142</f>
        <v>96.09</v>
      </c>
      <c r="GY116" s="150"/>
      <c r="HB116" s="171">
        <f>(HB17-HB11)/HB142</f>
        <v>0</v>
      </c>
      <c r="HC116" s="150"/>
      <c r="HF116" s="171">
        <f>(HF17-HF11)/HF142</f>
        <v>0</v>
      </c>
      <c r="HG116" s="171">
        <f>(HG17-HG11)/HG142</f>
        <v>0</v>
      </c>
      <c r="HH116" s="150"/>
    </row>
    <row r="117" spans="1:256" s="85" customFormat="1" ht="14.25" customHeight="1" x14ac:dyDescent="0.2">
      <c r="B117" s="85" t="s">
        <v>294</v>
      </c>
      <c r="C117" s="125"/>
      <c r="D117" s="126"/>
      <c r="E117" s="111">
        <f>SUM(E23)/E$142</f>
        <v>630.33900000000006</v>
      </c>
      <c r="F117" s="111">
        <f>SUM(F23)/F$142</f>
        <v>712.64</v>
      </c>
      <c r="G117" s="111">
        <f>SUM(G23)/G$142</f>
        <v>511.94900000000001</v>
      </c>
      <c r="H117" s="111">
        <f>SUM(H23)/H$142</f>
        <v>244.24700000000001</v>
      </c>
      <c r="I117" s="111"/>
      <c r="J117" s="111" t="e">
        <f>SUM(J23)/J$142</f>
        <v>#DIV/0!</v>
      </c>
      <c r="K117" s="108"/>
      <c r="L117" s="111">
        <f>SUM(L23)/L$142</f>
        <v>0</v>
      </c>
      <c r="M117" s="111" t="e">
        <f>SUM(M23)/M$142</f>
        <v>#DIV/0!</v>
      </c>
      <c r="N117" s="111"/>
      <c r="O117" s="108"/>
      <c r="P117" s="111">
        <f>SUM(P23)/P$142</f>
        <v>169.25800000000001</v>
      </c>
      <c r="Q117" s="111">
        <f>SUM(Q23)/Q$142</f>
        <v>118.124</v>
      </c>
      <c r="R117" s="111">
        <f>SUM(R23)/R$142</f>
        <v>81.783000000000001</v>
      </c>
      <c r="S117" s="111">
        <f>SUM(S23)/S$142</f>
        <v>153.28100000000001</v>
      </c>
      <c r="T117" s="111"/>
      <c r="U117" s="111"/>
      <c r="V117" s="108"/>
      <c r="W117" s="111">
        <f>SUM(W23)/W$142</f>
        <v>336.94900000000001</v>
      </c>
      <c r="X117" s="111">
        <f>SUM(X23)/X$142</f>
        <v>49.616</v>
      </c>
      <c r="Y117" s="111">
        <f>SUM(Y23)/Y$142</f>
        <v>226.047</v>
      </c>
      <c r="Z117" s="111">
        <f>SUM(Z23)/Z$142</f>
        <v>194.554</v>
      </c>
      <c r="AA117" s="111"/>
      <c r="AB117" s="111"/>
      <c r="AC117" s="108"/>
      <c r="AD117" s="111">
        <f>SUM(AD23)/AD$142</f>
        <v>356.04999999999995</v>
      </c>
      <c r="AE117" s="111" t="e">
        <f>SUM(AE23)/AE$142</f>
        <v>#DIV/0!</v>
      </c>
      <c r="AF117" s="111"/>
      <c r="AG117" s="108"/>
      <c r="AH117" s="111">
        <f>SUM(AH23)/AH$142</f>
        <v>169.37899999999999</v>
      </c>
      <c r="AI117" s="111" t="e">
        <f>SUM(AI23)/AI$142</f>
        <v>#DIV/0!</v>
      </c>
      <c r="AJ117" s="111"/>
      <c r="AK117" s="108"/>
      <c r="AL117" s="111">
        <f>SUM(AL23)/AL$142</f>
        <v>12.412000000000001</v>
      </c>
      <c r="AM117" s="111" t="e">
        <f>SUM(AM23)/AM$142</f>
        <v>#DIV/0!</v>
      </c>
      <c r="AN117" s="111"/>
      <c r="AO117" s="111"/>
      <c r="AP117" s="111"/>
      <c r="AQ117" s="108"/>
      <c r="AR117" s="111">
        <f>SUM(AR23)/AR$142</f>
        <v>300.267</v>
      </c>
      <c r="AS117" s="111">
        <f>SUM(AS23)/AS$142</f>
        <v>226.75</v>
      </c>
      <c r="AT117" s="111">
        <f>SUM(AT23)/AT$142</f>
        <v>189.39599999999999</v>
      </c>
      <c r="AU117" s="111">
        <f>SUM(AU23)/AU$142</f>
        <v>183.93899999999999</v>
      </c>
      <c r="AV117" s="111"/>
      <c r="AW117" s="111" t="e">
        <f>SUM(AW23)/AW$142</f>
        <v>#DIV/0!</v>
      </c>
      <c r="AX117" s="108"/>
      <c r="AY117" s="111">
        <f>SUM(AY23)/AY$142</f>
        <v>0</v>
      </c>
      <c r="AZ117" s="111" t="e">
        <f>SUM(AZ23)/AZ$142</f>
        <v>#DIV/0!</v>
      </c>
      <c r="BA117" s="111" t="e">
        <f>SUM(BA23)/BA$142</f>
        <v>#DIV/0!</v>
      </c>
      <c r="BB117" s="108"/>
      <c r="BC117" s="111">
        <f>SUM(BC23)/BC$142</f>
        <v>1042.546</v>
      </c>
      <c r="BD117" s="111"/>
      <c r="BE117" s="111"/>
      <c r="BF117" s="108"/>
      <c r="BG117" s="111">
        <f>SUM(BG23)/BG$142</f>
        <v>7023</v>
      </c>
      <c r="BH117" s="111">
        <f>SUM(BH23)/BH$142</f>
        <v>756</v>
      </c>
      <c r="BI117" s="111">
        <f>SUM(BI23)/BI$142</f>
        <v>1854.6296296296296</v>
      </c>
      <c r="BJ117" s="111">
        <f>SUM(BJ23)/BJ$142</f>
        <v>1250</v>
      </c>
      <c r="BK117" s="111"/>
      <c r="BL117" s="111" t="e">
        <f>SUM(BL23)/BL$142</f>
        <v>#DIV/0!</v>
      </c>
      <c r="BM117" s="108"/>
      <c r="BN117" s="111">
        <f>SUM(BN23)/BN$142</f>
        <v>163.13499999999999</v>
      </c>
      <c r="BO117" s="111">
        <f>SUM(BO23)/BO$142</f>
        <v>290.678</v>
      </c>
      <c r="BP117" s="111">
        <f>SUM(BP23)/BP$142</f>
        <v>440.90899999999999</v>
      </c>
      <c r="BQ117" s="111">
        <f>SUM(BQ23)/BQ$142</f>
        <v>647.57500000000005</v>
      </c>
      <c r="BR117" s="111"/>
      <c r="BS117" s="111" t="e">
        <f>SUM(BS23)/BS$142</f>
        <v>#DIV/0!</v>
      </c>
      <c r="BT117" s="111"/>
      <c r="BU117" s="111">
        <f>SUM(BU23)/BU$142</f>
        <v>48.26</v>
      </c>
      <c r="BV117" s="111" t="e">
        <f>SUM(BV23)/BV$142</f>
        <v>#DIV/0!</v>
      </c>
      <c r="BW117" s="111" t="e">
        <f>SUM(BW23)/BW$142</f>
        <v>#DIV/0!</v>
      </c>
      <c r="BX117" s="108"/>
      <c r="BY117" s="111">
        <f>SUM(BY23)/BY$142</f>
        <v>1218</v>
      </c>
      <c r="BZ117" s="111" t="e">
        <f>SUM(BZ23)/BZ$142</f>
        <v>#DIV/0!</v>
      </c>
      <c r="CA117" s="111"/>
      <c r="CB117" s="108"/>
      <c r="CC117" s="111">
        <f>SUM(CC23)/CC$142</f>
        <v>551.73500000000001</v>
      </c>
      <c r="CD117" s="111">
        <f>SUM(CD23)/CD$142</f>
        <v>216.10344827586209</v>
      </c>
      <c r="CE117" s="111">
        <f>SUM(CE23)/CE$142</f>
        <v>77.372</v>
      </c>
      <c r="CF117" s="111"/>
      <c r="CG117" s="111" t="e">
        <f>SUM(CG23)/CG$142</f>
        <v>#DIV/0!</v>
      </c>
      <c r="CH117" s="108"/>
      <c r="CI117" s="111">
        <f>SUM(CI23)/CI$142</f>
        <v>819</v>
      </c>
      <c r="CJ117" s="111" t="e">
        <f>SUM(CJ23)/CJ$142</f>
        <v>#DIV/0!</v>
      </c>
      <c r="CK117" s="111" t="e">
        <f>SUM(CK23)/CK$142</f>
        <v>#DIV/0!</v>
      </c>
      <c r="CL117" s="108"/>
      <c r="CM117" s="111">
        <f>SUM(CM23)/CM$142</f>
        <v>71.418000000000006</v>
      </c>
      <c r="CN117" s="111" t="e">
        <f>SUM(CN23)/CN$142</f>
        <v>#DIV/0!</v>
      </c>
      <c r="CO117" s="111"/>
      <c r="CP117" s="111"/>
      <c r="CQ117" s="111"/>
      <c r="CR117" s="111" t="e">
        <f>SUM(CR23)/CR$142</f>
        <v>#DIV/0!</v>
      </c>
      <c r="CS117" s="108"/>
      <c r="CT117" s="111">
        <f>SUM(CT23)/CT$142</f>
        <v>0</v>
      </c>
      <c r="CU117" s="111" t="e">
        <f>SUM(CU23)/CU$142</f>
        <v>#DIV/0!</v>
      </c>
      <c r="CV117" s="111" t="e">
        <f>SUM(CV23)/CV$142</f>
        <v>#DIV/0!</v>
      </c>
      <c r="CW117" s="108"/>
      <c r="CX117" s="111">
        <f>SUM(CX23)/CX$142</f>
        <v>52.026000000000003</v>
      </c>
      <c r="CY117" s="111" t="e">
        <f>SUM(CY23)/CY$142</f>
        <v>#DIV/0!</v>
      </c>
      <c r="CZ117" s="111"/>
      <c r="DA117" s="111"/>
      <c r="DB117" s="111" t="e">
        <f>SUM(DB23)/DB$142</f>
        <v>#DIV/0!</v>
      </c>
      <c r="DC117" s="108"/>
      <c r="DD117" s="111">
        <f>SUM(DD23)/DD$142</f>
        <v>0</v>
      </c>
      <c r="DE117" s="111" t="e">
        <f>SUM(DE23)/DE$142</f>
        <v>#DIV/0!</v>
      </c>
      <c r="DF117" s="111" t="e">
        <f>SUM(DF23)/DF$142</f>
        <v>#DIV/0!</v>
      </c>
      <c r="DG117" s="108"/>
      <c r="DH117" s="111">
        <f>SUM(DH23)/DH$142</f>
        <v>2724.9369999999999</v>
      </c>
      <c r="DI117" s="111" t="e">
        <f>SUM(DI23)/DI$142</f>
        <v>#DIV/0!</v>
      </c>
      <c r="DJ117" s="111"/>
      <c r="DK117" s="111"/>
      <c r="DL117" s="111"/>
      <c r="DM117" s="111" t="e">
        <f>SUM(DM23)/DM$142</f>
        <v>#DIV/0!</v>
      </c>
      <c r="DN117" s="108"/>
      <c r="DO117" s="111">
        <f>SUM(DO23)/DO$142</f>
        <v>155</v>
      </c>
      <c r="DP117" s="111" t="e">
        <f>SUM(DP23)/DP$142</f>
        <v>#DIV/0!</v>
      </c>
      <c r="DQ117" s="111"/>
      <c r="DR117" s="111"/>
      <c r="DS117" s="111"/>
      <c r="DT117" s="111" t="e">
        <f>SUM(DT23)/DT$142</f>
        <v>#DIV/0!</v>
      </c>
      <c r="DU117" s="108"/>
      <c r="DV117" s="111">
        <f>SUM(DV23)/DV$142</f>
        <v>-43.701999999999998</v>
      </c>
      <c r="DW117" s="111" t="e">
        <f>SUM(DW23)/DW$142</f>
        <v>#DIV/0!</v>
      </c>
      <c r="DX117" s="111" t="e">
        <f>SUM(DX23)/DX$142</f>
        <v>#DIV/0!</v>
      </c>
      <c r="DY117" s="108"/>
      <c r="DZ117" s="111">
        <f>SUM(DZ23)/DZ$142</f>
        <v>4068</v>
      </c>
      <c r="EA117" s="111" t="e">
        <f>SUM(EA23)/EA$142</f>
        <v>#DIV/0!</v>
      </c>
      <c r="EB117" s="111" t="e">
        <f>SUM(EB23)/EB$142</f>
        <v>#DIV/0!</v>
      </c>
      <c r="EC117" s="108"/>
      <c r="ED117" s="111">
        <f>SUM(ED23)/ED$142</f>
        <v>2013.337</v>
      </c>
      <c r="EE117" s="111" t="e">
        <f>SUM(EE23)/EE$142</f>
        <v>#DIV/0!</v>
      </c>
      <c r="EF117" s="111" t="e">
        <f>SUM(EF23)/EF$142</f>
        <v>#DIV/0!</v>
      </c>
      <c r="EG117" s="108"/>
      <c r="EH117" s="111">
        <f>SUM(EH23)/EH$142</f>
        <v>28.527000000000001</v>
      </c>
      <c r="EI117" s="111" t="e">
        <f>SUM(EI23)/EI$142</f>
        <v>#DIV/0!</v>
      </c>
      <c r="EJ117" s="111" t="e">
        <f>SUM(EJ23)/EJ$142</f>
        <v>#DIV/0!</v>
      </c>
      <c r="EK117" s="108"/>
      <c r="EL117" s="111">
        <f>SUM(EL23)/EL$142</f>
        <v>-347</v>
      </c>
      <c r="EM117" s="111" t="e">
        <f>SUM(EM23)/EM$142</f>
        <v>#DIV/0!</v>
      </c>
      <c r="EN117" s="111" t="e">
        <f>SUM(EN23)/EN$142</f>
        <v>#DIV/0!</v>
      </c>
      <c r="EO117" s="108"/>
      <c r="EP117" s="111">
        <f>SUM(EP23)/EP$142</f>
        <v>350.04300000000001</v>
      </c>
      <c r="EQ117" s="111" t="e">
        <f>SUM(EQ23)/EQ$142</f>
        <v>#DIV/0!</v>
      </c>
      <c r="ER117" s="111" t="e">
        <f>SUM(ER23)/ER$142</f>
        <v>#DIV/0!</v>
      </c>
      <c r="ES117" s="108"/>
      <c r="ET117" s="111">
        <f>SUM(ET23)/ET$142</f>
        <v>68.924999999999997</v>
      </c>
      <c r="EU117" s="111" t="e">
        <f>SUM(EU23)/EU$142</f>
        <v>#DIV/0!</v>
      </c>
      <c r="EV117" s="111" t="e">
        <f>SUM(EV23)/EV$142</f>
        <v>#DIV/0!</v>
      </c>
      <c r="EW117" s="108"/>
      <c r="EX117" s="111">
        <f>SUM(EX23)/EX$142</f>
        <v>40.956000000000003</v>
      </c>
      <c r="EY117" s="111" t="e">
        <f>SUM(EY23)/EY$142</f>
        <v>#DIV/0!</v>
      </c>
      <c r="EZ117" s="111" t="e">
        <f>SUM(EZ23)/EZ$142</f>
        <v>#DIV/0!</v>
      </c>
      <c r="FA117" s="108"/>
      <c r="FB117" s="111">
        <f>SUM(FB23)/FB$142</f>
        <v>7.4619999999999997</v>
      </c>
      <c r="FC117" s="111" t="e">
        <f>SUM(FC23)/FC$142</f>
        <v>#DIV/0!</v>
      </c>
      <c r="FD117" s="111" t="e">
        <f>SUM(FD23)/FD$142</f>
        <v>#DIV/0!</v>
      </c>
      <c r="FE117" s="108"/>
      <c r="FF117" s="111">
        <f>SUM(FF23)/FF$142</f>
        <v>1513</v>
      </c>
      <c r="FG117" s="111" t="e">
        <f>SUM(FG23)/FG$142</f>
        <v>#DIV/0!</v>
      </c>
      <c r="FH117" s="111" t="e">
        <f>SUM(FH23)/FH$142</f>
        <v>#DIV/0!</v>
      </c>
      <c r="FI117" s="108"/>
      <c r="FJ117" s="111">
        <f>SUM(FJ23)/FJ$142</f>
        <v>151.42500000000001</v>
      </c>
      <c r="FK117" s="111" t="e">
        <f>SUM(FK23)/FK$142</f>
        <v>#DIV/0!</v>
      </c>
      <c r="FL117" s="111" t="e">
        <f>SUM(FL23)/FL$142</f>
        <v>#DIV/0!</v>
      </c>
      <c r="FM117" s="108"/>
      <c r="FN117" s="111">
        <f>SUM(FN23)/FN$142</f>
        <v>747.49900000000002</v>
      </c>
      <c r="FO117" s="111" t="e">
        <f>SUM(FO23)/FO$142</f>
        <v>#DIV/0!</v>
      </c>
      <c r="FP117" s="111" t="e">
        <f>SUM(FP23)/FP$142</f>
        <v>#DIV/0!</v>
      </c>
      <c r="FQ117" s="108"/>
      <c r="FR117" s="111">
        <f>SUM(FR23)/FR$142</f>
        <v>0</v>
      </c>
      <c r="FS117" s="111" t="e">
        <f>SUM(FS23)/FS$142</f>
        <v>#DIV/0!</v>
      </c>
      <c r="FT117" s="111" t="e">
        <f>SUM(FT23)/FT$142</f>
        <v>#DIV/0!</v>
      </c>
      <c r="FU117" s="108"/>
      <c r="FV117" s="111">
        <f>SUM(FV23)/FV$142</f>
        <v>231.97800000000001</v>
      </c>
      <c r="FW117" s="111" t="e">
        <f>SUM(FW23)/FW$142</f>
        <v>#DIV/0!</v>
      </c>
      <c r="FX117" s="111" t="e">
        <f>SUM(FX23)/FX$142</f>
        <v>#DIV/0!</v>
      </c>
      <c r="FY117" s="108"/>
      <c r="FZ117" s="111">
        <f>SUM(FZ23)/FZ$142</f>
        <v>620</v>
      </c>
      <c r="GA117" s="111" t="e">
        <f>SUM(GA23)/GA$142</f>
        <v>#DIV/0!</v>
      </c>
      <c r="GB117" s="111" t="e">
        <f>SUM(GB23)/GB$142</f>
        <v>#DIV/0!</v>
      </c>
      <c r="GC117" s="108"/>
      <c r="GD117" s="111">
        <f>SUM(GD23)/GD$142</f>
        <v>43.648000000000003</v>
      </c>
      <c r="GE117" s="111" t="e">
        <f>SUM(GE23)/GE$142</f>
        <v>#DIV/0!</v>
      </c>
      <c r="GF117" s="111" t="e">
        <f>SUM(GF23)/GF$142</f>
        <v>#DIV/0!</v>
      </c>
      <c r="GG117" s="108"/>
      <c r="GH117" s="111">
        <f>SUM(GH23)/GH$142</f>
        <v>678.45799999999997</v>
      </c>
      <c r="GI117" s="111" t="e">
        <f>SUM(GI23)/GI$142</f>
        <v>#DIV/0!</v>
      </c>
      <c r="GJ117" s="111" t="e">
        <f>SUM(GJ23)/GJ$142</f>
        <v>#DIV/0!</v>
      </c>
      <c r="GK117" s="108"/>
      <c r="GL117" s="111">
        <f>SUM(GL23)/GL$142</f>
        <v>0</v>
      </c>
      <c r="GM117" s="111" t="e">
        <f>SUM(GM23)/GM$142</f>
        <v>#DIV/0!</v>
      </c>
      <c r="GN117" s="111" t="e">
        <f>SUM(GN23)/GN$142</f>
        <v>#DIV/0!</v>
      </c>
      <c r="GO117" s="108"/>
      <c r="GP117" s="111">
        <f>SUM(GP23)/GP$142</f>
        <v>-9818</v>
      </c>
      <c r="GQ117" s="111" t="e">
        <f>SUM(GQ23)/GQ$142</f>
        <v>#DIV/0!</v>
      </c>
      <c r="GR117" s="111" t="e">
        <f>SUM(GR23)/GR$142</f>
        <v>#DIV/0!</v>
      </c>
      <c r="GS117" s="108"/>
      <c r="GT117" s="111">
        <f>SUM(GT23)/GT$142</f>
        <v>0</v>
      </c>
      <c r="GU117" s="111" t="e">
        <f>SUM(GU23)/GU$142</f>
        <v>#DIV/0!</v>
      </c>
      <c r="GV117" s="111" t="e">
        <f>SUM(GV23)/GV$142</f>
        <v>#DIV/0!</v>
      </c>
      <c r="GW117" s="108"/>
      <c r="GX117" s="111">
        <f>SUM(GX23)/GX$142</f>
        <v>204.066</v>
      </c>
      <c r="GY117" s="111" t="e">
        <f>SUM(GY23)/GY$142</f>
        <v>#DIV/0!</v>
      </c>
      <c r="GZ117" s="111" t="e">
        <f>SUM(GZ23)/GZ$142</f>
        <v>#DIV/0!</v>
      </c>
      <c r="HA117" s="108"/>
      <c r="HB117" s="111">
        <f>SUM(HB23)/HB$142</f>
        <v>-48.59</v>
      </c>
      <c r="HC117" s="111" t="e">
        <f>SUM(HC23)/HC$142</f>
        <v>#DIV/0!</v>
      </c>
      <c r="HD117" s="111" t="e">
        <f>SUM(HD23)/HD$142</f>
        <v>#DIV/0!</v>
      </c>
      <c r="HE117" s="108"/>
      <c r="HF117" s="111">
        <f>SUM(HF23)/HF$142</f>
        <v>0</v>
      </c>
      <c r="HG117" s="111">
        <f>SUM(HG23)/HG$142</f>
        <v>0</v>
      </c>
      <c r="HH117" s="111" t="e">
        <f>SUM(HH23)/HH$142</f>
        <v>#DIV/0!</v>
      </c>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85" customFormat="1" ht="14.25" customHeight="1" x14ac:dyDescent="0.2">
      <c r="C118" s="125"/>
      <c r="D118" s="126"/>
      <c r="E118" s="92"/>
      <c r="F118" s="92"/>
      <c r="G118" s="92"/>
      <c r="H118" s="92"/>
      <c r="I118" s="92"/>
      <c r="J118" s="91"/>
      <c r="K118" s="92"/>
      <c r="N118" s="125"/>
      <c r="O118" s="126"/>
      <c r="U118" s="91"/>
      <c r="V118" s="92"/>
      <c r="AB118" s="91"/>
      <c r="AC118" s="92"/>
      <c r="AF118" s="91"/>
      <c r="AG118" s="92"/>
      <c r="AJ118" s="91"/>
      <c r="AK118" s="92"/>
      <c r="AP118" s="91"/>
      <c r="AQ118" s="92"/>
      <c r="AW118" s="91"/>
      <c r="AX118" s="92"/>
      <c r="BA118" s="91"/>
      <c r="BB118" s="92"/>
      <c r="BC118" s="92"/>
      <c r="BD118" s="92"/>
      <c r="BE118" s="91"/>
      <c r="BF118" s="92"/>
      <c r="BG118" s="92"/>
      <c r="BH118" s="92"/>
      <c r="BI118" s="92"/>
      <c r="BJ118" s="92"/>
      <c r="BK118" s="92"/>
      <c r="BL118" s="91"/>
      <c r="BM118" s="92"/>
      <c r="BN118" s="92"/>
      <c r="BO118" s="92"/>
      <c r="BP118" s="92"/>
      <c r="BQ118" s="92"/>
      <c r="BR118" s="92"/>
      <c r="BS118" s="91"/>
      <c r="BT118" s="92"/>
      <c r="BU118" s="92"/>
      <c r="BV118" s="92"/>
      <c r="BW118" s="91"/>
      <c r="BX118" s="92"/>
      <c r="CA118" s="91"/>
      <c r="CB118" s="92"/>
      <c r="CG118" s="91"/>
      <c r="CH118" s="92"/>
      <c r="CK118" s="91"/>
      <c r="CL118" s="92"/>
      <c r="CR118" s="91"/>
      <c r="CS118" s="92"/>
      <c r="CV118" s="91"/>
      <c r="CW118" s="92"/>
      <c r="DB118" s="91"/>
      <c r="DC118" s="92"/>
      <c r="DF118" s="91"/>
      <c r="DG118" s="92"/>
      <c r="DM118" s="91"/>
      <c r="DN118" s="92"/>
      <c r="DT118" s="91"/>
      <c r="DU118" s="92"/>
      <c r="DX118" s="91"/>
      <c r="DY118" s="92"/>
      <c r="EB118" s="91"/>
      <c r="EC118" s="92"/>
      <c r="EF118" s="91"/>
      <c r="EG118" s="92"/>
      <c r="EJ118" s="91"/>
      <c r="EK118" s="92"/>
      <c r="EN118" s="91"/>
      <c r="EO118" s="92"/>
      <c r="ER118" s="91"/>
      <c r="ES118" s="92"/>
      <c r="EV118" s="91"/>
      <c r="EW118" s="92"/>
      <c r="EZ118" s="91"/>
      <c r="FA118" s="92"/>
      <c r="FD118" s="91"/>
      <c r="FE118" s="92"/>
      <c r="FH118" s="91"/>
      <c r="FI118" s="92"/>
      <c r="FL118" s="91"/>
      <c r="FM118" s="92"/>
      <c r="FP118" s="91"/>
      <c r="FQ118" s="92"/>
      <c r="FT118" s="91"/>
      <c r="FU118" s="92"/>
      <c r="FX118" s="91"/>
      <c r="FY118" s="92"/>
      <c r="GB118" s="91"/>
      <c r="GC118" s="92"/>
      <c r="GF118" s="91"/>
      <c r="GG118" s="92"/>
      <c r="GJ118" s="91"/>
      <c r="GK118" s="92"/>
      <c r="GN118" s="91"/>
      <c r="GO118" s="92"/>
      <c r="GR118" s="91"/>
      <c r="GS118" s="92"/>
      <c r="GV118" s="91"/>
      <c r="GW118" s="92"/>
      <c r="GZ118" s="91"/>
      <c r="HA118" s="92"/>
      <c r="HD118" s="91"/>
      <c r="HE118" s="9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85" customFormat="1" ht="14.25" customHeight="1" x14ac:dyDescent="0.2">
      <c r="A119" s="148" t="s">
        <v>295</v>
      </c>
      <c r="B119" s="148"/>
      <c r="C119" s="125"/>
      <c r="D119" s="126"/>
      <c r="E119" s="92"/>
      <c r="F119" s="92"/>
      <c r="G119" s="92"/>
      <c r="H119" s="92"/>
      <c r="I119" s="92"/>
      <c r="J119" s="91"/>
      <c r="K119" s="92"/>
      <c r="N119" s="125"/>
      <c r="O119" s="126"/>
      <c r="U119" s="91"/>
      <c r="V119" s="92"/>
      <c r="AB119" s="91"/>
      <c r="AC119" s="92"/>
      <c r="AF119" s="91"/>
      <c r="AG119" s="92"/>
      <c r="AJ119" s="91"/>
      <c r="AK119" s="92"/>
      <c r="AP119" s="91"/>
      <c r="AQ119" s="92"/>
      <c r="AW119" s="91"/>
      <c r="AX119" s="92"/>
      <c r="BA119" s="91"/>
      <c r="BB119" s="92"/>
      <c r="BC119" s="92"/>
      <c r="BD119" s="92"/>
      <c r="BE119" s="91"/>
      <c r="BF119" s="92"/>
      <c r="BG119" s="92"/>
      <c r="BH119" s="92"/>
      <c r="BI119" s="92"/>
      <c r="BJ119" s="92"/>
      <c r="BK119" s="92"/>
      <c r="BL119" s="91"/>
      <c r="BM119" s="92"/>
      <c r="BN119" s="92"/>
      <c r="BO119" s="92"/>
      <c r="BP119" s="92"/>
      <c r="BQ119" s="92"/>
      <c r="BR119" s="92"/>
      <c r="BS119" s="91"/>
      <c r="BT119" s="92"/>
      <c r="BU119" s="92"/>
      <c r="BV119" s="92"/>
      <c r="BW119" s="91"/>
      <c r="BX119" s="92"/>
      <c r="CA119" s="91"/>
      <c r="CB119" s="92"/>
      <c r="CG119" s="91"/>
      <c r="CH119" s="92"/>
      <c r="CK119" s="91"/>
      <c r="CL119" s="92"/>
      <c r="CR119" s="91"/>
      <c r="CS119" s="92"/>
      <c r="CV119" s="91"/>
      <c r="CW119" s="92"/>
      <c r="DB119" s="91"/>
      <c r="DC119" s="92"/>
      <c r="DF119" s="91"/>
      <c r="DG119" s="92"/>
      <c r="DM119" s="91"/>
      <c r="DN119" s="92"/>
      <c r="DT119" s="91"/>
      <c r="DU119" s="92"/>
      <c r="DX119" s="91"/>
      <c r="DY119" s="92"/>
      <c r="EB119" s="91"/>
      <c r="EC119" s="92"/>
      <c r="EF119" s="91"/>
      <c r="EG119" s="92"/>
      <c r="EJ119" s="91"/>
      <c r="EK119" s="92"/>
      <c r="EN119" s="91"/>
      <c r="EO119" s="92"/>
      <c r="ER119" s="91"/>
      <c r="ES119" s="92"/>
      <c r="EV119" s="91"/>
      <c r="EW119" s="92"/>
      <c r="EZ119" s="91"/>
      <c r="FA119" s="92"/>
      <c r="FD119" s="91"/>
      <c r="FE119" s="92"/>
      <c r="FH119" s="91"/>
      <c r="FI119" s="92"/>
      <c r="FL119" s="91"/>
      <c r="FM119" s="92"/>
      <c r="FP119" s="91"/>
      <c r="FQ119" s="92"/>
      <c r="FT119" s="91"/>
      <c r="FU119" s="92"/>
      <c r="FX119" s="91"/>
      <c r="FY119" s="92"/>
      <c r="GB119" s="91"/>
      <c r="GC119" s="92"/>
      <c r="GF119" s="91"/>
      <c r="GG119" s="92"/>
      <c r="GJ119" s="91"/>
      <c r="GK119" s="92"/>
      <c r="GN119" s="91"/>
      <c r="GO119" s="92"/>
      <c r="GR119" s="91"/>
      <c r="GS119" s="92"/>
      <c r="GV119" s="91"/>
      <c r="GW119" s="92"/>
      <c r="GZ119" s="91"/>
      <c r="HA119" s="92"/>
      <c r="HD119" s="91"/>
      <c r="HE119" s="9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176" customFormat="1" x14ac:dyDescent="0.2">
      <c r="A120" s="10"/>
      <c r="B120" s="175" t="s">
        <v>296</v>
      </c>
      <c r="C120" s="118"/>
      <c r="D120" s="118"/>
      <c r="E120" s="108">
        <f>AVERAGE(E30:F30)</f>
        <v>194512.7935</v>
      </c>
      <c r="F120" s="108">
        <f>AVERAGE(F30:G30)</f>
        <v>164955.5435</v>
      </c>
      <c r="G120" s="108">
        <f>AVERAGE(G30:H30)</f>
        <v>145491.78049999999</v>
      </c>
      <c r="H120" s="108">
        <f>AVERAGE(H30:I30)</f>
        <v>138432.04800000001</v>
      </c>
      <c r="I120" s="108"/>
      <c r="J120" s="108">
        <f>AVERAGE(J30:L30)</f>
        <v>4852.1769999999997</v>
      </c>
      <c r="K120" s="108"/>
      <c r="L120" s="108">
        <f>AVERAGE(L30:M30)</f>
        <v>7600.0884999999998</v>
      </c>
      <c r="M120" s="108">
        <f>AVERAGE(M30:N30)</f>
        <v>10348</v>
      </c>
      <c r="N120" s="108"/>
      <c r="O120" s="108"/>
      <c r="P120" s="108">
        <f>AVERAGE(P30:Q30)</f>
        <v>30669.4725</v>
      </c>
      <c r="Q120" s="108">
        <f>AVERAGE(Q30:R30)</f>
        <v>28129.4005</v>
      </c>
      <c r="R120" s="108">
        <f>AVERAGE(R30:S30)</f>
        <v>28788.095999999998</v>
      </c>
      <c r="S120" s="108">
        <f>AVERAGE(S30:T30)</f>
        <v>30362.764999999999</v>
      </c>
      <c r="T120" s="108"/>
      <c r="U120" s="108"/>
      <c r="V120" s="108"/>
      <c r="W120" s="108">
        <f>AVERAGE(W30:X30)</f>
        <v>27100.585999999999</v>
      </c>
      <c r="X120" s="108">
        <f>AVERAGE(X30:Y30)</f>
        <v>23188.164499999999</v>
      </c>
      <c r="Y120" s="108">
        <f>AVERAGE(Y30:Z30)</f>
        <v>20955.619500000001</v>
      </c>
      <c r="Z120" s="108">
        <f>AVERAGE(Z30:AA30)</f>
        <v>19961.994999999999</v>
      </c>
      <c r="AA120" s="108"/>
      <c r="AB120" s="108"/>
      <c r="AC120" s="108"/>
      <c r="AD120" s="108">
        <f>AVERAGE(AD30:AE30)</f>
        <v>11909.004499999999</v>
      </c>
      <c r="AE120" s="108">
        <f>AVERAGE(AE30:AF30)</f>
        <v>11636.213</v>
      </c>
      <c r="AF120" s="108"/>
      <c r="AG120" s="108"/>
      <c r="AH120" s="108">
        <f>AVERAGE(AH30:AI30)</f>
        <v>22578.538499999999</v>
      </c>
      <c r="AI120" s="108">
        <f>AVERAGE(AI30:AJ30)</f>
        <v>8393.8119999999999</v>
      </c>
      <c r="AJ120" s="108"/>
      <c r="AK120" s="108"/>
      <c r="AL120" s="108">
        <f>AVERAGE(AL30:AM30)</f>
        <v>4758.1985000000004</v>
      </c>
      <c r="AM120" s="108">
        <f>AVERAGE(AM30:AP30)</f>
        <v>2493.0115000000001</v>
      </c>
      <c r="AN120" s="108"/>
      <c r="AO120" s="108"/>
      <c r="AP120" s="108"/>
      <c r="AQ120" s="108"/>
      <c r="AR120" s="108">
        <f>AVERAGE(AR30:AS30)</f>
        <v>12224.202499999999</v>
      </c>
      <c r="AS120" s="108">
        <f>AVERAGE(AS30:AT30)</f>
        <v>9585.6270000000004</v>
      </c>
      <c r="AT120" s="108">
        <f>AVERAGE(AT30:AU30)</f>
        <v>7500.8600000000006</v>
      </c>
      <c r="AU120" s="108">
        <f>AVERAGE(AU30:AW30)</f>
        <v>6276.9570000000003</v>
      </c>
      <c r="AV120" s="108"/>
      <c r="AW120" s="108">
        <f>AVERAGE(AW30:AY30)</f>
        <v>557134</v>
      </c>
      <c r="AX120" s="108"/>
      <c r="AY120" s="108">
        <f>AVERAGE(AY30:AZ30)</f>
        <v>558727</v>
      </c>
      <c r="AZ120" s="108">
        <f>AVERAGE(AZ30:BA30)</f>
        <v>560320</v>
      </c>
      <c r="BA120" s="108">
        <f>AVERAGE(BA30:BC30)</f>
        <v>122233.9</v>
      </c>
      <c r="BB120" s="108"/>
      <c r="BC120" s="108">
        <f>AVERAGE(BC30:BD30)</f>
        <v>135277.85700000002</v>
      </c>
      <c r="BD120" s="108"/>
      <c r="BE120" s="108"/>
      <c r="BF120" s="108"/>
      <c r="BG120" s="108">
        <f>AVERAGE(BG30:BH30)</f>
        <v>517813.5</v>
      </c>
      <c r="BH120" s="108">
        <f>AVERAGE(BH30:BI30)</f>
        <v>440987.5</v>
      </c>
      <c r="BI120" s="108">
        <f>AVERAGE(BI30:BJ30)</f>
        <v>281862</v>
      </c>
      <c r="BJ120" s="108">
        <f>AVERAGE(BJ30:BK30)</f>
        <v>194547</v>
      </c>
      <c r="BK120" s="108"/>
      <c r="BL120" s="108">
        <f>AVERAGE(BL30:BN30)</f>
        <v>27232.792000000001</v>
      </c>
      <c r="BM120" s="108"/>
      <c r="BN120" s="108">
        <f>AVERAGE(BN30:BO30)</f>
        <v>25873.491999999998</v>
      </c>
      <c r="BO120" s="108">
        <f>AVERAGE(BO30:BP30)</f>
        <v>19841.295999999998</v>
      </c>
      <c r="BP120" s="108">
        <f>AVERAGE(BP30:BQ30)</f>
        <v>12197.654999999999</v>
      </c>
      <c r="BQ120" s="108">
        <f>AVERAGE(BQ30:BR30)</f>
        <v>9226.91</v>
      </c>
      <c r="BR120" s="108"/>
      <c r="BS120" s="108">
        <f>AVERAGE(BS30:BU30)</f>
        <v>5200.0429999999997</v>
      </c>
      <c r="BT120" s="108"/>
      <c r="BU120" s="108">
        <f t="shared" ref="BU120:BZ120" si="61">AVERAGE(BU30:BV30)</f>
        <v>4446.9634999999998</v>
      </c>
      <c r="BV120" s="108">
        <f t="shared" si="61"/>
        <v>3693.884</v>
      </c>
      <c r="BW120" s="108">
        <f>AVERAGE(BW30:BY30)</f>
        <v>54974</v>
      </c>
      <c r="BX120" s="108"/>
      <c r="BY120" s="108">
        <f t="shared" si="61"/>
        <v>53073.5</v>
      </c>
      <c r="BZ120" s="108">
        <f t="shared" si="61"/>
        <v>51173</v>
      </c>
      <c r="CA120" s="108"/>
      <c r="CB120" s="108"/>
      <c r="CC120" s="108">
        <f>AVERAGE(CC30:CD30)</f>
        <v>82803.530500000008</v>
      </c>
      <c r="CD120" s="108">
        <f>AVERAGE(CD30:CE30)</f>
        <v>27484.9925</v>
      </c>
      <c r="CE120" s="108">
        <f>AVERAGE(CE30:CF30)</f>
        <v>16408.611000000001</v>
      </c>
      <c r="CF120" s="108"/>
      <c r="CG120" s="108">
        <f>AVERAGE(CG30:CI30)</f>
        <v>40242</v>
      </c>
      <c r="CH120" s="108"/>
      <c r="CI120" s="108">
        <f>AVERAGE(CI30:CJ30)</f>
        <v>40787</v>
      </c>
      <c r="CJ120" s="108">
        <f>AVERAGE(CJ30:CK30)</f>
        <v>41332</v>
      </c>
      <c r="CK120" s="108">
        <f>AVERAGE(CK30:CM30)</f>
        <v>6915.4679999999998</v>
      </c>
      <c r="CL120" s="108"/>
      <c r="CM120" s="108">
        <f>AVERAGE(CM30:CN30)</f>
        <v>6937.1810000000005</v>
      </c>
      <c r="CN120" s="108">
        <f>AVERAGE(CN30:CR30)</f>
        <v>6958.8940000000002</v>
      </c>
      <c r="CO120" s="108"/>
      <c r="CP120" s="108"/>
      <c r="CQ120" s="108"/>
      <c r="CR120" s="108">
        <f>AVERAGE(CR30:CT30)</f>
        <v>3624.5659999999998</v>
      </c>
      <c r="CS120" s="108"/>
      <c r="CT120" s="108">
        <f>AVERAGE(CT30:CU30)</f>
        <v>3808.1342</v>
      </c>
      <c r="CU120" s="108">
        <f>AVERAGE(CU30:CV30)</f>
        <v>3991.7024000000001</v>
      </c>
      <c r="CV120" s="108">
        <f>AVERAGE(CV30:CX30)</f>
        <v>7790.1329999999998</v>
      </c>
      <c r="CW120" s="108"/>
      <c r="CX120" s="108">
        <f>AVERAGE(CX30:CY30)</f>
        <v>5380.5789999999997</v>
      </c>
      <c r="CY120" s="108">
        <f>AVERAGE(CY30:DB30)</f>
        <v>2971.0250000000001</v>
      </c>
      <c r="CZ120" s="108"/>
      <c r="DA120" s="108"/>
      <c r="DB120" s="108">
        <f>AVERAGE(DB30:DD30)</f>
        <v>14952.263000000001</v>
      </c>
      <c r="DC120" s="108"/>
      <c r="DD120" s="108">
        <f>AVERAGE(DD30:DE30)</f>
        <v>14425.428</v>
      </c>
      <c r="DE120" s="108">
        <f>AVERAGE(DE30:DF30)</f>
        <v>13898.593000000001</v>
      </c>
      <c r="DF120" s="108">
        <f>AVERAGE(DF30:DH30)</f>
        <v>113423.05100000001</v>
      </c>
      <c r="DG120" s="108"/>
      <c r="DH120" s="108">
        <f>AVERAGE(DH30:DI30)</f>
        <v>101642.609</v>
      </c>
      <c r="DI120" s="108">
        <f>AVERAGE(DI30:DM30)</f>
        <v>89862.167000000001</v>
      </c>
      <c r="DJ120" s="108"/>
      <c r="DK120" s="108"/>
      <c r="DL120" s="108"/>
      <c r="DM120" s="108">
        <f>AVERAGE(DM30:DO30)</f>
        <v>306100</v>
      </c>
      <c r="DN120" s="108"/>
      <c r="DO120" s="108">
        <f>AVERAGE(DO30:DP30)</f>
        <v>265432.5</v>
      </c>
      <c r="DP120" s="108">
        <f>AVERAGE(DP30:DT30)</f>
        <v>224765</v>
      </c>
      <c r="DQ120" s="108"/>
      <c r="DR120" s="108"/>
      <c r="DS120" s="108"/>
      <c r="DT120" s="108">
        <f>AVERAGE(DT30:DV30)</f>
        <v>6630.7790000000005</v>
      </c>
      <c r="DU120" s="108"/>
      <c r="DV120" s="108">
        <f t="shared" ref="DV120:GE120" si="62">AVERAGE(DV30:DW30)</f>
        <v>6312.3780000000006</v>
      </c>
      <c r="DW120" s="108">
        <f t="shared" si="62"/>
        <v>5993.9770000000008</v>
      </c>
      <c r="DX120" s="108">
        <f>AVERAGE(DX30:DZ30)</f>
        <v>690847</v>
      </c>
      <c r="DY120" s="108"/>
      <c r="DZ120" s="108">
        <f t="shared" si="62"/>
        <v>634682</v>
      </c>
      <c r="EA120" s="108">
        <f t="shared" si="62"/>
        <v>578517</v>
      </c>
      <c r="EB120" s="108">
        <f>AVERAGE(EB30:ED30)</f>
        <v>282602.82400000002</v>
      </c>
      <c r="EC120" s="108"/>
      <c r="ED120" s="108">
        <f t="shared" si="62"/>
        <v>254949.603</v>
      </c>
      <c r="EE120" s="108">
        <f t="shared" si="62"/>
        <v>227296.38200000001</v>
      </c>
      <c r="EF120" s="108">
        <f>AVERAGE(EF30:EH30)</f>
        <v>5963.6580000000004</v>
      </c>
      <c r="EG120" s="108"/>
      <c r="EH120" s="108">
        <f t="shared" si="62"/>
        <v>5256.5830000000005</v>
      </c>
      <c r="EI120" s="108">
        <f t="shared" si="62"/>
        <v>4549.5079999999998</v>
      </c>
      <c r="EJ120" s="108">
        <f>AVERAGE(EJ30:EL30)</f>
        <v>54474</v>
      </c>
      <c r="EK120" s="108"/>
      <c r="EL120" s="108">
        <f t="shared" si="62"/>
        <v>50299.5</v>
      </c>
      <c r="EM120" s="108">
        <f t="shared" si="62"/>
        <v>46125</v>
      </c>
      <c r="EN120" s="108">
        <f>AVERAGE(EN30:EP30)</f>
        <v>31986.859</v>
      </c>
      <c r="EO120" s="108"/>
      <c r="EP120" s="108">
        <f t="shared" si="62"/>
        <v>28579.531999999999</v>
      </c>
      <c r="EQ120" s="108">
        <f t="shared" si="62"/>
        <v>25172.205000000002</v>
      </c>
      <c r="ER120" s="108">
        <f>AVERAGE(ER30:ET30)</f>
        <v>49006.038999999997</v>
      </c>
      <c r="ES120" s="108"/>
      <c r="ET120" s="108">
        <f t="shared" si="62"/>
        <v>43355.698999999993</v>
      </c>
      <c r="EU120" s="108">
        <f t="shared" si="62"/>
        <v>37705.358999999997</v>
      </c>
      <c r="EV120" s="108">
        <f>AVERAGE(EV30:EX30)</f>
        <v>1270.93</v>
      </c>
      <c r="EW120" s="108"/>
      <c r="EX120" s="108">
        <f t="shared" si="62"/>
        <v>1270.93</v>
      </c>
      <c r="EY120" s="108" t="e">
        <f t="shared" si="62"/>
        <v>#DIV/0!</v>
      </c>
      <c r="EZ120" s="108">
        <f>AVERAGE(EZ30:FB30)</f>
        <v>3271.4870000000001</v>
      </c>
      <c r="FA120" s="108"/>
      <c r="FB120" s="108">
        <f t="shared" si="62"/>
        <v>3146.8595</v>
      </c>
      <c r="FC120" s="108">
        <f t="shared" si="62"/>
        <v>3022.232</v>
      </c>
      <c r="FD120" s="108">
        <f>AVERAGE(FD30:FF30)</f>
        <v>271584</v>
      </c>
      <c r="FE120" s="108"/>
      <c r="FF120" s="108">
        <f t="shared" si="62"/>
        <v>268994</v>
      </c>
      <c r="FG120" s="108">
        <f t="shared" si="62"/>
        <v>266404</v>
      </c>
      <c r="FH120" s="108">
        <f>AVERAGE(FH30:FJ30)</f>
        <v>32928.671000000002</v>
      </c>
      <c r="FI120" s="108"/>
      <c r="FJ120" s="108">
        <f t="shared" si="62"/>
        <v>26565.188999999998</v>
      </c>
      <c r="FK120" s="108">
        <f t="shared" si="62"/>
        <v>20201.706999999999</v>
      </c>
      <c r="FL120" s="108">
        <f>AVERAGE(FL30:FN30)</f>
        <v>854392.74399999995</v>
      </c>
      <c r="FM120" s="108"/>
      <c r="FN120" s="108">
        <f t="shared" si="62"/>
        <v>800446.35950000002</v>
      </c>
      <c r="FO120" s="108">
        <f t="shared" si="62"/>
        <v>746499.97499999998</v>
      </c>
      <c r="FP120" s="108">
        <f>AVERAGE(FP30:FR30)</f>
        <v>28390.5</v>
      </c>
      <c r="FQ120" s="108"/>
      <c r="FR120" s="108">
        <f t="shared" si="62"/>
        <v>28589.538500000002</v>
      </c>
      <c r="FS120" s="108">
        <f t="shared" si="62"/>
        <v>28788.577000000001</v>
      </c>
      <c r="FT120" s="108">
        <f>AVERAGE(FT30:FV30)</f>
        <v>5796.44</v>
      </c>
      <c r="FU120" s="108"/>
      <c r="FV120" s="108">
        <f t="shared" si="62"/>
        <v>5274.5649999999996</v>
      </c>
      <c r="FW120" s="108">
        <f t="shared" si="62"/>
        <v>4752.6899999999996</v>
      </c>
      <c r="FX120" s="108">
        <f>AVERAGE(FX30:FZ30)</f>
        <v>171608</v>
      </c>
      <c r="FY120" s="108"/>
      <c r="FZ120" s="108">
        <f t="shared" si="62"/>
        <v>171776</v>
      </c>
      <c r="GA120" s="108">
        <f t="shared" si="62"/>
        <v>171944</v>
      </c>
      <c r="GB120" s="108">
        <f>AVERAGE(GB30:GD30)</f>
        <v>1218.7380000000001</v>
      </c>
      <c r="GC120" s="108"/>
      <c r="GD120" s="108">
        <f t="shared" si="62"/>
        <v>1133.0160000000001</v>
      </c>
      <c r="GE120" s="108">
        <f t="shared" si="62"/>
        <v>1047.2940000000001</v>
      </c>
      <c r="GF120" s="108">
        <f>AVERAGE(GF30:GH30)</f>
        <v>380021.13699999999</v>
      </c>
      <c r="GG120" s="108"/>
      <c r="GH120" s="108">
        <f t="shared" ref="GH120:GY120" si="63">AVERAGE(GH30:GI30)</f>
        <v>402743.141</v>
      </c>
      <c r="GI120" s="108">
        <f t="shared" si="63"/>
        <v>425465.14500000002</v>
      </c>
      <c r="GJ120" s="108">
        <f>AVERAGE(GJ30:GL30)</f>
        <v>31368.802</v>
      </c>
      <c r="GK120" s="108"/>
      <c r="GL120" s="108">
        <f t="shared" si="63"/>
        <v>19971.963499999998</v>
      </c>
      <c r="GM120" s="108">
        <f t="shared" si="63"/>
        <v>8575.125</v>
      </c>
      <c r="GN120" s="108">
        <f>AVERAGE(GN30:GP30)</f>
        <v>1487156</v>
      </c>
      <c r="GO120" s="108"/>
      <c r="GP120" s="108">
        <f t="shared" si="63"/>
        <v>1318368</v>
      </c>
      <c r="GQ120" s="108">
        <f t="shared" si="63"/>
        <v>1149580</v>
      </c>
      <c r="GR120" s="108">
        <f>AVERAGE(GR30:GT30)</f>
        <v>120801</v>
      </c>
      <c r="GS120" s="108"/>
      <c r="GT120" s="108">
        <f t="shared" si="63"/>
        <v>120801</v>
      </c>
      <c r="GU120" s="108" t="e">
        <f t="shared" si="63"/>
        <v>#DIV/0!</v>
      </c>
      <c r="GV120" s="108">
        <f>AVERAGE(GV30:GX30)</f>
        <v>18831.053</v>
      </c>
      <c r="GW120" s="108"/>
      <c r="GX120" s="108">
        <f t="shared" si="63"/>
        <v>17691.753000000001</v>
      </c>
      <c r="GY120" s="108">
        <f t="shared" si="63"/>
        <v>16552.453000000001</v>
      </c>
      <c r="GZ120" s="108">
        <f>AVERAGE(GZ30:HB30)</f>
        <v>215292.2</v>
      </c>
      <c r="HA120" s="108"/>
      <c r="HB120" s="108">
        <f t="shared" ref="HB120:HH120" si="64">AVERAGE(HB30:HC30)</f>
        <v>215292.2</v>
      </c>
      <c r="HC120" s="108" t="e">
        <f t="shared" si="64"/>
        <v>#DIV/0!</v>
      </c>
      <c r="HD120" s="108">
        <f>AVERAGE(HD30:HF30)</f>
        <v>458487.3</v>
      </c>
      <c r="HE120" s="108"/>
      <c r="HF120" s="108">
        <f t="shared" si="64"/>
        <v>352391.4425</v>
      </c>
      <c r="HG120" s="108">
        <f t="shared" si="64"/>
        <v>245237.27600000001</v>
      </c>
      <c r="HH120" s="108">
        <f t="shared" si="64"/>
        <v>244178.967</v>
      </c>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176" customFormat="1" x14ac:dyDescent="0.2">
      <c r="A121" s="10"/>
      <c r="B121" s="175" t="s">
        <v>297</v>
      </c>
      <c r="C121" s="118"/>
      <c r="D121" s="118"/>
      <c r="E121" s="108">
        <f>AVERAGE(E28:F28)</f>
        <v>155203.71799999999</v>
      </c>
      <c r="F121" s="108">
        <f>AVERAGE(F28:G28)</f>
        <v>124218.212</v>
      </c>
      <c r="G121" s="108">
        <f>AVERAGE(G28:H28)</f>
        <v>105123.60699999999</v>
      </c>
      <c r="H121" s="108">
        <f>AVERAGE(H28:I28)</f>
        <v>99511.034</v>
      </c>
      <c r="I121" s="108"/>
      <c r="J121" s="108">
        <f>AVERAGE(J28:L28)</f>
        <v>3774.0640000000003</v>
      </c>
      <c r="K121" s="108"/>
      <c r="L121" s="108">
        <f>AVERAGE(L28:M28)</f>
        <v>6945.0320000000002</v>
      </c>
      <c r="M121" s="108">
        <f>AVERAGE(M28:N28)</f>
        <v>10116</v>
      </c>
      <c r="N121" s="108"/>
      <c r="O121" s="108"/>
      <c r="P121" s="108">
        <f>AVERAGE(P28:Q28)</f>
        <v>30159.5</v>
      </c>
      <c r="Q121" s="108">
        <f>AVERAGE(Q28:R28)</f>
        <v>26058.148999999998</v>
      </c>
      <c r="R121" s="108">
        <f>AVERAGE(R28:S28)</f>
        <v>25184.933499999999</v>
      </c>
      <c r="S121" s="108">
        <f>AVERAGE(S28:T28)</f>
        <v>26675.569</v>
      </c>
      <c r="T121" s="108"/>
      <c r="U121" s="108"/>
      <c r="V121" s="108"/>
      <c r="W121" s="108">
        <f>AVERAGE(W28:X28)</f>
        <v>24821.786</v>
      </c>
      <c r="X121" s="108">
        <f>AVERAGE(X28:Y28)</f>
        <v>20873.639500000001</v>
      </c>
      <c r="Y121" s="108">
        <f>AVERAGE(Y28:Z28)</f>
        <v>18335.160499999998</v>
      </c>
      <c r="Z121" s="108">
        <f>AVERAGE(Z28:AA28)</f>
        <v>16607.219000000001</v>
      </c>
      <c r="AA121" s="108"/>
      <c r="AB121" s="108"/>
      <c r="AC121" s="108"/>
      <c r="AD121" s="108">
        <f>AVERAGE(AD28:AE28)</f>
        <v>10026.5905</v>
      </c>
      <c r="AE121" s="108">
        <f>AVERAGE(AE28:AF28)</f>
        <v>9157.4760000000006</v>
      </c>
      <c r="AF121" s="108"/>
      <c r="AG121" s="108"/>
      <c r="AH121" s="108">
        <f>AVERAGE(AH28:AI28)</f>
        <v>17373.869500000001</v>
      </c>
      <c r="AI121" s="108">
        <f>AVERAGE(AI28:AJ28)</f>
        <v>6489.6049999999996</v>
      </c>
      <c r="AJ121" s="108"/>
      <c r="AK121" s="108"/>
      <c r="AL121" s="108">
        <f>AVERAGE(AL28:AM28)</f>
        <v>4273.1589999999997</v>
      </c>
      <c r="AM121" s="108">
        <f>AVERAGE(AM28:AP28)</f>
        <v>2074.7280000000001</v>
      </c>
      <c r="AN121" s="108"/>
      <c r="AO121" s="108"/>
      <c r="AP121" s="108"/>
      <c r="AQ121" s="108"/>
      <c r="AR121" s="108">
        <f>AVERAGE(AR28:AS28)</f>
        <v>11992.273000000001</v>
      </c>
      <c r="AS121" s="108">
        <f>AVERAGE(AS28:AT28)</f>
        <v>9142.6990000000005</v>
      </c>
      <c r="AT121" s="108">
        <f>AVERAGE(AT28:AU28)</f>
        <v>7112.5439999999999</v>
      </c>
      <c r="AU121" s="108">
        <f>AVERAGE(AU28:AW28)</f>
        <v>6155.6989999999996</v>
      </c>
      <c r="AV121" s="108"/>
      <c r="AW121" s="108">
        <f>AVERAGE(AW28:AY28)</f>
        <v>557052</v>
      </c>
      <c r="AX121" s="108"/>
      <c r="AY121" s="108">
        <f>AVERAGE(AY28:AZ28)</f>
        <v>558485.5</v>
      </c>
      <c r="AZ121" s="108">
        <f>AVERAGE(AZ28:BA28)</f>
        <v>559919</v>
      </c>
      <c r="BA121" s="108">
        <f>AVERAGE(BA28:BC28)</f>
        <v>93025.55</v>
      </c>
      <c r="BB121" s="108"/>
      <c r="BC121" s="108">
        <f>AVERAGE(BC28:BD28)</f>
        <v>103704.9455</v>
      </c>
      <c r="BD121" s="108"/>
      <c r="BE121" s="108"/>
      <c r="BF121" s="108"/>
      <c r="BG121" s="108">
        <f>AVERAGE(BG28:BH28)</f>
        <v>353538.5</v>
      </c>
      <c r="BH121" s="108">
        <f>AVERAGE(BH28:BI28)</f>
        <v>330365.5</v>
      </c>
      <c r="BI121" s="108">
        <f>AVERAGE(BI28:BJ28)</f>
        <v>239327</v>
      </c>
      <c r="BJ121" s="108">
        <f>AVERAGE(BJ28:BK28)</f>
        <v>138740</v>
      </c>
      <c r="BK121" s="108"/>
      <c r="BL121" s="108">
        <f>AVERAGE(BL28:BN28)</f>
        <v>24609.987000000001</v>
      </c>
      <c r="BM121" s="108"/>
      <c r="BN121" s="108">
        <f>AVERAGE(BN28:BO28)</f>
        <v>23998.719499999999</v>
      </c>
      <c r="BO121" s="108">
        <f>AVERAGE(BO28:BP28)</f>
        <v>19083.061999999998</v>
      </c>
      <c r="BP121" s="108">
        <f>AVERAGE(BP28:BQ28)</f>
        <v>11892.967999999999</v>
      </c>
      <c r="BQ121" s="108">
        <f>AVERAGE(BQ28:BR28)</f>
        <v>9007.2639999999992</v>
      </c>
      <c r="BR121" s="108"/>
      <c r="BS121" s="108">
        <f>AVERAGE(BS28:BU28)</f>
        <v>4973.0420000000004</v>
      </c>
      <c r="BT121" s="108"/>
      <c r="BU121" s="108">
        <f t="shared" ref="BU121:BZ121" si="65">AVERAGE(BU28:BV28)</f>
        <v>4256.058</v>
      </c>
      <c r="BV121" s="108">
        <f t="shared" si="65"/>
        <v>3539.0740000000001</v>
      </c>
      <c r="BW121" s="108">
        <f>AVERAGE(BW28:BY28)</f>
        <v>0</v>
      </c>
      <c r="BX121" s="108"/>
      <c r="BY121" s="108">
        <f t="shared" si="65"/>
        <v>0</v>
      </c>
      <c r="BZ121" s="108">
        <f t="shared" si="65"/>
        <v>0</v>
      </c>
      <c r="CA121" s="108"/>
      <c r="CB121" s="108"/>
      <c r="CC121" s="108">
        <f>AVERAGE(CC28:CD28)</f>
        <v>73997.532999999996</v>
      </c>
      <c r="CD121" s="108">
        <f>AVERAGE(CD28:CE28)</f>
        <v>23926.847499999996</v>
      </c>
      <c r="CE121" s="108">
        <f>AVERAGE(CE28:CF28)</f>
        <v>12572.318000000001</v>
      </c>
      <c r="CF121" s="108"/>
      <c r="CG121" s="108">
        <f>AVERAGE(CG28:CI28)</f>
        <v>31359</v>
      </c>
      <c r="CH121" s="108"/>
      <c r="CI121" s="108">
        <f>AVERAGE(CI28:CJ28)</f>
        <v>33092.5</v>
      </c>
      <c r="CJ121" s="108">
        <f>AVERAGE(CJ28:CK28)</f>
        <v>34826</v>
      </c>
      <c r="CK121" s="108">
        <f>AVERAGE(CK28:CM28)</f>
        <v>6826.8119999999999</v>
      </c>
      <c r="CL121" s="108"/>
      <c r="CM121" s="108">
        <f>AVERAGE(CM28:CN28)</f>
        <v>6498.7124999999996</v>
      </c>
      <c r="CN121" s="108">
        <f>AVERAGE(CN28:CR28)</f>
        <v>6170.6130000000003</v>
      </c>
      <c r="CO121" s="108"/>
      <c r="CP121" s="108"/>
      <c r="CQ121" s="108"/>
      <c r="CR121" s="108">
        <f>AVERAGE(CR28:CT28)</f>
        <v>3210.7869999999998</v>
      </c>
      <c r="CS121" s="108"/>
      <c r="CT121" s="108">
        <f>AVERAGE(CT28:CU28)</f>
        <v>3504.2559999999999</v>
      </c>
      <c r="CU121" s="108">
        <f>AVERAGE(CU28:CV28)</f>
        <v>3797.7249999999999</v>
      </c>
      <c r="CV121" s="108">
        <f>AVERAGE(CV28:CX28)</f>
        <v>7577.4949999999999</v>
      </c>
      <c r="CW121" s="108"/>
      <c r="CX121" s="108">
        <f>AVERAGE(CX28:CY28)</f>
        <v>5138.1774999999998</v>
      </c>
      <c r="CY121" s="108">
        <f>AVERAGE(CY28:DB28)</f>
        <v>2698.8599999999997</v>
      </c>
      <c r="CZ121" s="108"/>
      <c r="DA121" s="108"/>
      <c r="DB121" s="108">
        <f>AVERAGE(DB28:DD28)</f>
        <v>14526.164000000001</v>
      </c>
      <c r="DC121" s="108"/>
      <c r="DD121" s="108">
        <f>AVERAGE(DD28:DE28)</f>
        <v>14215.246999999999</v>
      </c>
      <c r="DE121" s="108">
        <f>AVERAGE(DE28:DF28)</f>
        <v>13904.33</v>
      </c>
      <c r="DF121" s="108">
        <f>AVERAGE(DF28:DH28)</f>
        <v>111676.37400000001</v>
      </c>
      <c r="DG121" s="108"/>
      <c r="DH121" s="108">
        <f>AVERAGE(DH28:DI28)</f>
        <v>100562.21050000002</v>
      </c>
      <c r="DI121" s="108">
        <f>AVERAGE(DI28:DM28)</f>
        <v>89448.047000000006</v>
      </c>
      <c r="DJ121" s="108"/>
      <c r="DK121" s="108"/>
      <c r="DL121" s="108"/>
      <c r="DM121" s="108">
        <f>AVERAGE(DM28:DO28)</f>
        <v>238034</v>
      </c>
      <c r="DN121" s="108"/>
      <c r="DO121" s="108">
        <f>AVERAGE(DO28:DP28)</f>
        <v>212184</v>
      </c>
      <c r="DP121" s="108">
        <f>AVERAGE(DP28:DT28)</f>
        <v>186334</v>
      </c>
      <c r="DQ121" s="108"/>
      <c r="DR121" s="108"/>
      <c r="DS121" s="108"/>
      <c r="DT121" s="108">
        <f>AVERAGE(DT28:DV28)</f>
        <v>5326.4439999999995</v>
      </c>
      <c r="DU121" s="108"/>
      <c r="DV121" s="108">
        <f t="shared" ref="DV121:GE121" si="66">AVERAGE(DV28:DW28)</f>
        <v>5443.2325000000001</v>
      </c>
      <c r="DW121" s="108">
        <f t="shared" si="66"/>
        <v>5560.0209999999997</v>
      </c>
      <c r="DX121" s="108">
        <f>AVERAGE(DX28:DZ28)</f>
        <v>500389</v>
      </c>
      <c r="DY121" s="108"/>
      <c r="DZ121" s="108">
        <f t="shared" si="66"/>
        <v>464187</v>
      </c>
      <c r="EA121" s="108">
        <f t="shared" si="66"/>
        <v>427985</v>
      </c>
      <c r="EB121" s="108">
        <f>AVERAGE(EB28:ED28)</f>
        <v>218604.30099999998</v>
      </c>
      <c r="EC121" s="108"/>
      <c r="ED121" s="108">
        <f t="shared" si="66"/>
        <v>201800.7145</v>
      </c>
      <c r="EE121" s="108">
        <f t="shared" si="66"/>
        <v>184997.128</v>
      </c>
      <c r="EF121" s="108">
        <f>AVERAGE(EF28:EH28)</f>
        <v>5856.6890000000003</v>
      </c>
      <c r="EG121" s="108"/>
      <c r="EH121" s="108">
        <f t="shared" si="66"/>
        <v>5128.8739999999998</v>
      </c>
      <c r="EI121" s="108">
        <f t="shared" si="66"/>
        <v>4401.0590000000002</v>
      </c>
      <c r="EJ121" s="108">
        <f>AVERAGE(EJ28:EL28)</f>
        <v>39502</v>
      </c>
      <c r="EK121" s="108"/>
      <c r="EL121" s="108">
        <f t="shared" si="66"/>
        <v>38375.5</v>
      </c>
      <c r="EM121" s="108">
        <f t="shared" si="66"/>
        <v>37249</v>
      </c>
      <c r="EN121" s="108">
        <f>AVERAGE(EN28:EP28)</f>
        <v>20180.32</v>
      </c>
      <c r="EO121" s="108"/>
      <c r="EP121" s="108">
        <f t="shared" si="66"/>
        <v>17221.7585</v>
      </c>
      <c r="EQ121" s="108">
        <f t="shared" si="66"/>
        <v>14263.197</v>
      </c>
      <c r="ER121" s="108">
        <f>AVERAGE(ER28:ET28)</f>
        <v>47311.182999999997</v>
      </c>
      <c r="ES121" s="108"/>
      <c r="ET121" s="108">
        <f t="shared" si="66"/>
        <v>41844.695999999996</v>
      </c>
      <c r="EU121" s="108">
        <f t="shared" si="66"/>
        <v>36378.209000000003</v>
      </c>
      <c r="EV121" s="108">
        <f>AVERAGE(EV28:EX28)</f>
        <v>840.40499999999997</v>
      </c>
      <c r="EW121" s="108"/>
      <c r="EX121" s="108">
        <f t="shared" si="66"/>
        <v>840.40499999999997</v>
      </c>
      <c r="EY121" s="108" t="e">
        <f t="shared" si="66"/>
        <v>#DIV/0!</v>
      </c>
      <c r="EZ121" s="108">
        <f>AVERAGE(EZ28:FB28)</f>
        <v>3163.9930000000004</v>
      </c>
      <c r="FA121" s="108"/>
      <c r="FB121" s="108">
        <f t="shared" si="66"/>
        <v>3052.2520000000004</v>
      </c>
      <c r="FC121" s="108">
        <f t="shared" si="66"/>
        <v>2940.511</v>
      </c>
      <c r="FD121" s="108">
        <f>AVERAGE(FD28:FF28)</f>
        <v>258301</v>
      </c>
      <c r="FE121" s="108"/>
      <c r="FF121" s="108">
        <f t="shared" si="66"/>
        <v>254574</v>
      </c>
      <c r="FG121" s="108">
        <f t="shared" si="66"/>
        <v>250847</v>
      </c>
      <c r="FH121" s="108">
        <f>AVERAGE(FH28:FJ28)</f>
        <v>32625.010999999999</v>
      </c>
      <c r="FI121" s="108"/>
      <c r="FJ121" s="108">
        <f t="shared" si="66"/>
        <v>26132.896000000001</v>
      </c>
      <c r="FK121" s="108">
        <f t="shared" si="66"/>
        <v>19640.780999999999</v>
      </c>
      <c r="FL121" s="108">
        <f>AVERAGE(FL28:FN28)</f>
        <v>850887.75300000003</v>
      </c>
      <c r="FM121" s="108"/>
      <c r="FN121" s="108">
        <f t="shared" si="66"/>
        <v>794047.26199999999</v>
      </c>
      <c r="FO121" s="108">
        <f t="shared" si="66"/>
        <v>737206.77099999995</v>
      </c>
      <c r="FP121" s="108">
        <f>AVERAGE(FP28:FR28)</f>
        <v>24501.857</v>
      </c>
      <c r="FQ121" s="108"/>
      <c r="FR121" s="108">
        <f t="shared" si="66"/>
        <v>23438.761500000001</v>
      </c>
      <c r="FS121" s="108">
        <f t="shared" si="66"/>
        <v>22375.665999999997</v>
      </c>
      <c r="FT121" s="108">
        <f>AVERAGE(FT28:FV28)</f>
        <v>5575.7550000000001</v>
      </c>
      <c r="FU121" s="108"/>
      <c r="FV121" s="108">
        <f t="shared" si="66"/>
        <v>5153.3189999999995</v>
      </c>
      <c r="FW121" s="108">
        <f t="shared" si="66"/>
        <v>4730.8829999999998</v>
      </c>
      <c r="FX121" s="108">
        <f>AVERAGE(FX28:FZ28)</f>
        <v>143053</v>
      </c>
      <c r="FY121" s="108"/>
      <c r="FZ121" s="108">
        <f t="shared" si="66"/>
        <v>140970.5</v>
      </c>
      <c r="GA121" s="108">
        <f t="shared" si="66"/>
        <v>138888</v>
      </c>
      <c r="GB121" s="108">
        <f>AVERAGE(GB28:GD28)</f>
        <v>248.61699999999999</v>
      </c>
      <c r="GC121" s="108"/>
      <c r="GD121" s="108">
        <f t="shared" si="66"/>
        <v>145.703</v>
      </c>
      <c r="GE121" s="108">
        <f t="shared" si="66"/>
        <v>42.789000000000001</v>
      </c>
      <c r="GF121" s="108">
        <f>AVERAGE(GF28:GH28)</f>
        <v>221515.079</v>
      </c>
      <c r="GG121" s="108"/>
      <c r="GH121" s="108">
        <f t="shared" ref="GH121:GY121" si="67">AVERAGE(GH28:GI28)</f>
        <v>263438.5625</v>
      </c>
      <c r="GI121" s="108">
        <f t="shared" si="67"/>
        <v>305362.04599999997</v>
      </c>
      <c r="GJ121" s="108">
        <f>AVERAGE(GJ28:GL28)</f>
        <v>26630.78</v>
      </c>
      <c r="GK121" s="108"/>
      <c r="GL121" s="108">
        <f t="shared" si="67"/>
        <v>16118.094999999999</v>
      </c>
      <c r="GM121" s="108">
        <f t="shared" si="67"/>
        <v>5605.41</v>
      </c>
      <c r="GN121" s="108">
        <f>AVERAGE(GN28:GP28)</f>
        <v>1238711</v>
      </c>
      <c r="GO121" s="108"/>
      <c r="GP121" s="108">
        <f t="shared" si="67"/>
        <v>1108108.5</v>
      </c>
      <c r="GQ121" s="108">
        <f t="shared" si="67"/>
        <v>977506</v>
      </c>
      <c r="GR121" s="108">
        <f>AVERAGE(GR28:GT28)</f>
        <v>118859</v>
      </c>
      <c r="GS121" s="108"/>
      <c r="GT121" s="108">
        <f t="shared" si="67"/>
        <v>118859</v>
      </c>
      <c r="GU121" s="108" t="e">
        <f t="shared" si="67"/>
        <v>#DIV/0!</v>
      </c>
      <c r="GV121" s="108">
        <f>AVERAGE(GV28:GX28)</f>
        <v>16693.635000000002</v>
      </c>
      <c r="GW121" s="108"/>
      <c r="GX121" s="108">
        <f t="shared" si="67"/>
        <v>15255.896000000001</v>
      </c>
      <c r="GY121" s="108">
        <f t="shared" si="67"/>
        <v>13818.156999999999</v>
      </c>
      <c r="GZ121" s="108">
        <f>AVERAGE(GZ28:HB28)</f>
        <v>206863.16099999999</v>
      </c>
      <c r="HA121" s="108"/>
      <c r="HB121" s="108">
        <f t="shared" ref="HB121:HH121" si="68">AVERAGE(HB28:HC28)</f>
        <v>206863.16099999999</v>
      </c>
      <c r="HC121" s="108" t="e">
        <f t="shared" si="68"/>
        <v>#DIV/0!</v>
      </c>
      <c r="HD121" s="108">
        <f>AVERAGE(HD28:HF28)</f>
        <v>457625.91800000001</v>
      </c>
      <c r="HE121" s="108"/>
      <c r="HF121" s="108">
        <f t="shared" si="68"/>
        <v>351935.35950000002</v>
      </c>
      <c r="HG121" s="108">
        <f t="shared" si="68"/>
        <v>245210.25750000001</v>
      </c>
      <c r="HH121" s="108">
        <f t="shared" si="68"/>
        <v>244175.71400000001</v>
      </c>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176" customFormat="1" x14ac:dyDescent="0.2">
      <c r="A122" s="10"/>
      <c r="B122" s="175" t="s">
        <v>298</v>
      </c>
      <c r="C122" s="118"/>
      <c r="D122" s="118"/>
      <c r="E122" s="108">
        <f>E28</f>
        <v>172707.19200000001</v>
      </c>
      <c r="F122" s="108">
        <f>F28</f>
        <v>137700.24400000001</v>
      </c>
      <c r="G122" s="108">
        <f>G28</f>
        <v>110736.18</v>
      </c>
      <c r="H122" s="108">
        <f>H28</f>
        <v>99511.034</v>
      </c>
      <c r="I122" s="108"/>
      <c r="J122" s="108">
        <f>J28</f>
        <v>0</v>
      </c>
      <c r="K122" s="108"/>
      <c r="L122" s="108">
        <f>L28</f>
        <v>3774.0640000000003</v>
      </c>
      <c r="M122" s="108">
        <f>M28</f>
        <v>10116</v>
      </c>
      <c r="N122" s="108"/>
      <c r="O122" s="108"/>
      <c r="P122" s="108">
        <f>P28</f>
        <v>31897</v>
      </c>
      <c r="Q122" s="108">
        <f>Q28</f>
        <v>28422</v>
      </c>
      <c r="R122" s="108">
        <f>R28</f>
        <v>23694.297999999999</v>
      </c>
      <c r="S122" s="108">
        <f>S28</f>
        <v>26675.569</v>
      </c>
      <c r="T122" s="108"/>
      <c r="U122" s="108"/>
      <c r="V122" s="108"/>
      <c r="W122" s="108">
        <f>W28</f>
        <v>27959.395</v>
      </c>
      <c r="X122" s="108">
        <f>X28</f>
        <v>21684.177000000003</v>
      </c>
      <c r="Y122" s="108">
        <f>Y28</f>
        <v>20063.101999999999</v>
      </c>
      <c r="Z122" s="108">
        <f>Z28</f>
        <v>16607.219000000001</v>
      </c>
      <c r="AA122" s="108"/>
      <c r="AB122" s="108"/>
      <c r="AC122" s="108"/>
      <c r="AD122" s="108">
        <f>AD28</f>
        <v>10895.705</v>
      </c>
      <c r="AE122" s="108">
        <f>AE28</f>
        <v>9157.4760000000006</v>
      </c>
      <c r="AF122" s="108"/>
      <c r="AG122" s="108"/>
      <c r="AH122" s="108">
        <f>AH28</f>
        <v>28258.133999999998</v>
      </c>
      <c r="AI122" s="108">
        <f>AI28</f>
        <v>6489.6049999999996</v>
      </c>
      <c r="AJ122" s="108"/>
      <c r="AK122" s="108"/>
      <c r="AL122" s="108">
        <f>AL28</f>
        <v>5068.1030000000001</v>
      </c>
      <c r="AM122" s="108">
        <f>AM28</f>
        <v>3478.2150000000001</v>
      </c>
      <c r="AN122" s="108"/>
      <c r="AO122" s="108"/>
      <c r="AP122" s="108"/>
      <c r="AQ122" s="108"/>
      <c r="AR122" s="108">
        <f>AR28</f>
        <v>13768.537</v>
      </c>
      <c r="AS122" s="108">
        <f>AS28</f>
        <v>10216.009</v>
      </c>
      <c r="AT122" s="108">
        <f>AT28</f>
        <v>8069.3890000000001</v>
      </c>
      <c r="AU122" s="108">
        <f>AU28</f>
        <v>6155.6989999999996</v>
      </c>
      <c r="AV122" s="108"/>
      <c r="AW122" s="108">
        <f>AW28</f>
        <v>0</v>
      </c>
      <c r="AX122" s="108"/>
      <c r="AY122" s="108">
        <f>AY28</f>
        <v>557052</v>
      </c>
      <c r="AZ122" s="108">
        <f>AZ28</f>
        <v>559919</v>
      </c>
      <c r="BA122" s="108">
        <f>BA28</f>
        <v>0</v>
      </c>
      <c r="BB122" s="108"/>
      <c r="BC122" s="108">
        <f>BC28</f>
        <v>93025.55</v>
      </c>
      <c r="BD122" s="108"/>
      <c r="BE122" s="108"/>
      <c r="BF122" s="108"/>
      <c r="BG122" s="108">
        <f>BG28</f>
        <v>386260</v>
      </c>
      <c r="BH122" s="108">
        <f>BH28</f>
        <v>320817</v>
      </c>
      <c r="BI122" s="108">
        <f>BI28</f>
        <v>339914</v>
      </c>
      <c r="BJ122" s="108">
        <f>BJ28</f>
        <v>138740</v>
      </c>
      <c r="BK122" s="108"/>
      <c r="BL122" s="108">
        <f>BL28</f>
        <v>0</v>
      </c>
      <c r="BM122" s="108"/>
      <c r="BN122" s="108">
        <f>BN28</f>
        <v>24609.987000000001</v>
      </c>
      <c r="BO122" s="108">
        <f>BO28</f>
        <v>23387.452000000001</v>
      </c>
      <c r="BP122" s="108">
        <f>BP28</f>
        <v>14778.671999999999</v>
      </c>
      <c r="BQ122" s="108">
        <f>BQ28</f>
        <v>9007.2639999999992</v>
      </c>
      <c r="BR122" s="108"/>
      <c r="BS122" s="108">
        <f t="shared" ref="BS122:BZ122" si="69">BS28</f>
        <v>0</v>
      </c>
      <c r="BT122" s="108"/>
      <c r="BU122" s="108">
        <f t="shared" si="69"/>
        <v>4973.0420000000004</v>
      </c>
      <c r="BV122" s="108">
        <f t="shared" si="69"/>
        <v>3539.0740000000001</v>
      </c>
      <c r="BW122" s="108">
        <f t="shared" si="69"/>
        <v>0</v>
      </c>
      <c r="BX122" s="108"/>
      <c r="BY122" s="108">
        <f t="shared" si="69"/>
        <v>0</v>
      </c>
      <c r="BZ122" s="108">
        <f t="shared" si="69"/>
        <v>0</v>
      </c>
      <c r="CA122" s="108"/>
      <c r="CB122" s="108"/>
      <c r="CC122" s="108">
        <f>CC28</f>
        <v>112713.68899999998</v>
      </c>
      <c r="CD122" s="108">
        <f>CD28</f>
        <v>35281.376999999993</v>
      </c>
      <c r="CE122" s="108">
        <f>CE28</f>
        <v>12572.318000000001</v>
      </c>
      <c r="CF122" s="108"/>
      <c r="CG122" s="108">
        <f t="shared" ref="CG122:CN122" si="70">CG28</f>
        <v>0</v>
      </c>
      <c r="CH122" s="108"/>
      <c r="CI122" s="108">
        <f t="shared" si="70"/>
        <v>31359</v>
      </c>
      <c r="CJ122" s="108">
        <f t="shared" si="70"/>
        <v>34826</v>
      </c>
      <c r="CK122" s="108">
        <f t="shared" si="70"/>
        <v>0</v>
      </c>
      <c r="CL122" s="108"/>
      <c r="CM122" s="108">
        <f t="shared" si="70"/>
        <v>6826.8119999999999</v>
      </c>
      <c r="CN122" s="108">
        <f t="shared" si="70"/>
        <v>6170.6130000000003</v>
      </c>
      <c r="CO122" s="108"/>
      <c r="CP122" s="108"/>
      <c r="CQ122" s="108"/>
      <c r="CR122" s="108">
        <f t="shared" ref="CR122:CY122" si="71">CR28</f>
        <v>0</v>
      </c>
      <c r="CS122" s="108"/>
      <c r="CT122" s="108">
        <f t="shared" si="71"/>
        <v>3210.7869999999998</v>
      </c>
      <c r="CU122" s="108">
        <f t="shared" si="71"/>
        <v>3797.7249999999999</v>
      </c>
      <c r="CV122" s="108">
        <f t="shared" si="71"/>
        <v>0</v>
      </c>
      <c r="CW122" s="108"/>
      <c r="CX122" s="108">
        <f t="shared" si="71"/>
        <v>7577.4949999999999</v>
      </c>
      <c r="CY122" s="108">
        <f t="shared" si="71"/>
        <v>2698.8599999999997</v>
      </c>
      <c r="CZ122" s="108"/>
      <c r="DA122" s="108"/>
      <c r="DB122" s="108">
        <f t="shared" ref="DB122:DI122" si="72">DB28</f>
        <v>0</v>
      </c>
      <c r="DC122" s="108"/>
      <c r="DD122" s="108">
        <f t="shared" si="72"/>
        <v>14526.164000000001</v>
      </c>
      <c r="DE122" s="108">
        <f t="shared" si="72"/>
        <v>13904.33</v>
      </c>
      <c r="DF122" s="108">
        <f t="shared" si="72"/>
        <v>0</v>
      </c>
      <c r="DG122" s="108"/>
      <c r="DH122" s="108">
        <f t="shared" si="72"/>
        <v>111676.37400000001</v>
      </c>
      <c r="DI122" s="108">
        <f t="shared" si="72"/>
        <v>89448.047000000006</v>
      </c>
      <c r="DJ122" s="108"/>
      <c r="DK122" s="108"/>
      <c r="DL122" s="108"/>
      <c r="DM122" s="108">
        <f>DM28</f>
        <v>0</v>
      </c>
      <c r="DN122" s="108"/>
      <c r="DO122" s="108">
        <f>DO28</f>
        <v>238034</v>
      </c>
      <c r="DP122" s="108">
        <f>DP28</f>
        <v>186334</v>
      </c>
      <c r="DQ122" s="108"/>
      <c r="DR122" s="108"/>
      <c r="DS122" s="108"/>
      <c r="DT122" s="108">
        <f t="shared" ref="DT122:GE122" si="73">DT28</f>
        <v>0</v>
      </c>
      <c r="DU122" s="108"/>
      <c r="DV122" s="108">
        <f t="shared" si="73"/>
        <v>5326.4439999999995</v>
      </c>
      <c r="DW122" s="108">
        <f t="shared" si="73"/>
        <v>5560.0209999999997</v>
      </c>
      <c r="DX122" s="108">
        <f t="shared" si="73"/>
        <v>0</v>
      </c>
      <c r="DY122" s="108"/>
      <c r="DZ122" s="108">
        <f t="shared" si="73"/>
        <v>500389</v>
      </c>
      <c r="EA122" s="108">
        <f t="shared" si="73"/>
        <v>427985</v>
      </c>
      <c r="EB122" s="108">
        <f t="shared" si="73"/>
        <v>0</v>
      </c>
      <c r="EC122" s="108"/>
      <c r="ED122" s="108">
        <f t="shared" si="73"/>
        <v>218604.30099999998</v>
      </c>
      <c r="EE122" s="108">
        <f t="shared" si="73"/>
        <v>184997.128</v>
      </c>
      <c r="EF122" s="108">
        <f t="shared" si="73"/>
        <v>0</v>
      </c>
      <c r="EG122" s="108"/>
      <c r="EH122" s="108">
        <f t="shared" si="73"/>
        <v>5856.6890000000003</v>
      </c>
      <c r="EI122" s="108">
        <f t="shared" si="73"/>
        <v>4401.0590000000002</v>
      </c>
      <c r="EJ122" s="108">
        <f t="shared" si="73"/>
        <v>0</v>
      </c>
      <c r="EK122" s="108"/>
      <c r="EL122" s="108">
        <f t="shared" si="73"/>
        <v>39502</v>
      </c>
      <c r="EM122" s="108">
        <f t="shared" si="73"/>
        <v>37249</v>
      </c>
      <c r="EN122" s="108">
        <f t="shared" si="73"/>
        <v>0</v>
      </c>
      <c r="EO122" s="108"/>
      <c r="EP122" s="108">
        <f t="shared" si="73"/>
        <v>20180.32</v>
      </c>
      <c r="EQ122" s="108">
        <f t="shared" si="73"/>
        <v>14263.197</v>
      </c>
      <c r="ER122" s="108">
        <f t="shared" si="73"/>
        <v>0</v>
      </c>
      <c r="ES122" s="108"/>
      <c r="ET122" s="108">
        <f t="shared" si="73"/>
        <v>47311.182999999997</v>
      </c>
      <c r="EU122" s="108">
        <f t="shared" si="73"/>
        <v>36378.209000000003</v>
      </c>
      <c r="EV122" s="108">
        <f t="shared" si="73"/>
        <v>0</v>
      </c>
      <c r="EW122" s="108"/>
      <c r="EX122" s="108">
        <f t="shared" si="73"/>
        <v>840.40499999999997</v>
      </c>
      <c r="EY122" s="108">
        <f t="shared" si="73"/>
        <v>0</v>
      </c>
      <c r="EZ122" s="108">
        <f t="shared" si="73"/>
        <v>0</v>
      </c>
      <c r="FA122" s="108"/>
      <c r="FB122" s="108">
        <f t="shared" si="73"/>
        <v>3163.9930000000004</v>
      </c>
      <c r="FC122" s="108">
        <f t="shared" si="73"/>
        <v>2940.511</v>
      </c>
      <c r="FD122" s="108">
        <f t="shared" si="73"/>
        <v>0</v>
      </c>
      <c r="FE122" s="108"/>
      <c r="FF122" s="108">
        <f t="shared" si="73"/>
        <v>258301</v>
      </c>
      <c r="FG122" s="108">
        <f t="shared" si="73"/>
        <v>250847</v>
      </c>
      <c r="FH122" s="108">
        <f t="shared" si="73"/>
        <v>0</v>
      </c>
      <c r="FI122" s="108"/>
      <c r="FJ122" s="108">
        <f t="shared" si="73"/>
        <v>32625.010999999999</v>
      </c>
      <c r="FK122" s="108">
        <f t="shared" si="73"/>
        <v>19640.780999999999</v>
      </c>
      <c r="FL122" s="108">
        <f t="shared" si="73"/>
        <v>0</v>
      </c>
      <c r="FM122" s="108"/>
      <c r="FN122" s="108">
        <f t="shared" si="73"/>
        <v>850887.75300000003</v>
      </c>
      <c r="FO122" s="108">
        <f t="shared" si="73"/>
        <v>737206.77099999995</v>
      </c>
      <c r="FP122" s="108">
        <f t="shared" si="73"/>
        <v>0</v>
      </c>
      <c r="FQ122" s="108"/>
      <c r="FR122" s="108">
        <f t="shared" si="73"/>
        <v>24501.857</v>
      </c>
      <c r="FS122" s="108">
        <f t="shared" si="73"/>
        <v>22375.665999999997</v>
      </c>
      <c r="FT122" s="108">
        <f t="shared" si="73"/>
        <v>0</v>
      </c>
      <c r="FU122" s="108"/>
      <c r="FV122" s="108">
        <f t="shared" si="73"/>
        <v>5575.7550000000001</v>
      </c>
      <c r="FW122" s="108">
        <f t="shared" si="73"/>
        <v>4730.8829999999998</v>
      </c>
      <c r="FX122" s="108">
        <f t="shared" si="73"/>
        <v>0</v>
      </c>
      <c r="FY122" s="108"/>
      <c r="FZ122" s="108">
        <f t="shared" si="73"/>
        <v>143053</v>
      </c>
      <c r="GA122" s="108">
        <f t="shared" si="73"/>
        <v>138888</v>
      </c>
      <c r="GB122" s="108">
        <f t="shared" si="73"/>
        <v>0</v>
      </c>
      <c r="GC122" s="108"/>
      <c r="GD122" s="108">
        <f t="shared" si="73"/>
        <v>248.61699999999999</v>
      </c>
      <c r="GE122" s="108">
        <f t="shared" si="73"/>
        <v>42.789000000000001</v>
      </c>
      <c r="GF122" s="108">
        <f t="shared" ref="GF122:GZ122" si="74">GF28</f>
        <v>0</v>
      </c>
      <c r="GG122" s="108"/>
      <c r="GH122" s="108">
        <f t="shared" si="74"/>
        <v>221515.079</v>
      </c>
      <c r="GI122" s="108">
        <f t="shared" si="74"/>
        <v>305362.04599999997</v>
      </c>
      <c r="GJ122" s="108">
        <f t="shared" si="74"/>
        <v>0</v>
      </c>
      <c r="GK122" s="108"/>
      <c r="GL122" s="108">
        <f t="shared" si="74"/>
        <v>26630.78</v>
      </c>
      <c r="GM122" s="108">
        <f t="shared" si="74"/>
        <v>5605.41</v>
      </c>
      <c r="GN122" s="108">
        <f t="shared" si="74"/>
        <v>0</v>
      </c>
      <c r="GO122" s="108"/>
      <c r="GP122" s="108">
        <f t="shared" si="74"/>
        <v>1238711</v>
      </c>
      <c r="GQ122" s="108">
        <f t="shared" si="74"/>
        <v>977506</v>
      </c>
      <c r="GR122" s="108">
        <f t="shared" si="74"/>
        <v>0</v>
      </c>
      <c r="GS122" s="108"/>
      <c r="GT122" s="108">
        <f t="shared" si="74"/>
        <v>118859</v>
      </c>
      <c r="GU122" s="108">
        <f t="shared" si="74"/>
        <v>0</v>
      </c>
      <c r="GV122" s="108">
        <f t="shared" si="74"/>
        <v>0</v>
      </c>
      <c r="GW122" s="108"/>
      <c r="GX122" s="108">
        <f t="shared" si="74"/>
        <v>16693.635000000002</v>
      </c>
      <c r="GY122" s="108">
        <f t="shared" si="74"/>
        <v>13818.156999999999</v>
      </c>
      <c r="GZ122" s="108">
        <f t="shared" si="74"/>
        <v>0</v>
      </c>
      <c r="HA122" s="108"/>
      <c r="HB122" s="108">
        <f>HB28</f>
        <v>206863.16099999999</v>
      </c>
      <c r="HC122" s="108">
        <f>HC28</f>
        <v>0</v>
      </c>
      <c r="HD122" s="108">
        <f>HD28</f>
        <v>0</v>
      </c>
      <c r="HE122" s="108"/>
      <c r="HF122" s="108">
        <f>HF28</f>
        <v>457625.91800000001</v>
      </c>
      <c r="HG122" s="108">
        <f>HG28</f>
        <v>246244.80100000001</v>
      </c>
      <c r="HH122" s="108">
        <f>HH28</f>
        <v>244175.71400000001</v>
      </c>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176" customFormat="1" x14ac:dyDescent="0.2">
      <c r="A123" s="10"/>
      <c r="B123" s="175" t="s">
        <v>299</v>
      </c>
      <c r="C123" s="118"/>
      <c r="D123" s="118"/>
      <c r="E123" s="108">
        <f>AVERAGE(E36:F36)</f>
        <v>16001.698499999999</v>
      </c>
      <c r="F123" s="108">
        <f>AVERAGE(F36:G36)</f>
        <v>15314.8395</v>
      </c>
      <c r="G123" s="108">
        <f>AVERAGE(G36:H36)</f>
        <v>13966.636</v>
      </c>
      <c r="H123" s="108">
        <f>AVERAGE(H36:I36)</f>
        <v>12983.726000000001</v>
      </c>
      <c r="I123" s="108"/>
      <c r="J123" s="108">
        <f>AVERAGE(J36:L36)</f>
        <v>4445.5879999999997</v>
      </c>
      <c r="K123" s="108"/>
      <c r="L123" s="108">
        <f>AVERAGE(L36:M36)</f>
        <v>4664.7939999999999</v>
      </c>
      <c r="M123" s="108">
        <f>AVERAGE(M36:N36)</f>
        <v>4884</v>
      </c>
      <c r="N123" s="108"/>
      <c r="O123" s="108"/>
      <c r="P123" s="108">
        <f>AVERAGE(P36:Q36)</f>
        <v>5672.8509999999997</v>
      </c>
      <c r="Q123" s="108">
        <f>AVERAGE(Q36:R36)</f>
        <v>5462.3354999999992</v>
      </c>
      <c r="R123" s="108">
        <f>AVERAGE(R36:S36)</f>
        <v>5275.933</v>
      </c>
      <c r="S123" s="108">
        <f>AVERAGE(S36:T36)</f>
        <v>5186.8360000000002</v>
      </c>
      <c r="T123" s="108"/>
      <c r="U123" s="108"/>
      <c r="V123" s="108"/>
      <c r="W123" s="108">
        <f>AVERAGE(W36:X36)</f>
        <v>3020.3694999999998</v>
      </c>
      <c r="X123" s="108">
        <f>AVERAGE(X36:Y36)</f>
        <v>2761.1675</v>
      </c>
      <c r="Y123" s="108">
        <f>AVERAGE(Y36:Z36)</f>
        <v>2732.6464999999998</v>
      </c>
      <c r="Z123" s="108">
        <f>AVERAGE(Z36:AA36)</f>
        <v>2681.4059999999999</v>
      </c>
      <c r="AA123" s="108"/>
      <c r="AB123" s="108"/>
      <c r="AC123" s="108"/>
      <c r="AD123" s="108">
        <f>AVERAGE(AD36:AE36)</f>
        <v>931.72350000000006</v>
      </c>
      <c r="AE123" s="108">
        <f>AVERAGE(AE36:AF36)</f>
        <v>417.97699999999998</v>
      </c>
      <c r="AF123" s="108"/>
      <c r="AG123" s="108"/>
      <c r="AH123" s="108">
        <f>AVERAGE(AH36:AI36)</f>
        <v>1774.1075000000001</v>
      </c>
      <c r="AI123" s="108">
        <f>AVERAGE(AI36:AJ36)</f>
        <v>754.09400000000005</v>
      </c>
      <c r="AJ123" s="108"/>
      <c r="AK123" s="108"/>
      <c r="AL123" s="108">
        <f>AVERAGE(AL36:AM36)</f>
        <v>896.23749999999995</v>
      </c>
      <c r="AM123" s="108">
        <f>AVERAGE(AM36:AP36)</f>
        <v>390.03449999999998</v>
      </c>
      <c r="AN123" s="108"/>
      <c r="AO123" s="108"/>
      <c r="AP123" s="108"/>
      <c r="AQ123" s="108"/>
      <c r="AR123" s="108">
        <f>AVERAGE(AR36:AS36)</f>
        <v>1960.5625</v>
      </c>
      <c r="AS123" s="108">
        <f>AVERAGE(AS36:AT36)</f>
        <v>1417.2249999999999</v>
      </c>
      <c r="AT123" s="108">
        <f>AVERAGE(AT36:AU36)</f>
        <v>1114.2829999999999</v>
      </c>
      <c r="AU123" s="108">
        <f>AVERAGE(AU36:AW36)</f>
        <v>1033.6379999999999</v>
      </c>
      <c r="AV123" s="108"/>
      <c r="AW123" s="108">
        <f>AVERAGE(AW36:AY36)</f>
        <v>3242</v>
      </c>
      <c r="AX123" s="108"/>
      <c r="AY123" s="108">
        <f>AVERAGE(AY36:AZ36)</f>
        <v>3154.5</v>
      </c>
      <c r="AZ123" s="108">
        <f>AVERAGE(AZ36:BA36)</f>
        <v>3067</v>
      </c>
      <c r="BA123" s="108">
        <f>AVERAGE(BA36:BC36)</f>
        <v>0</v>
      </c>
      <c r="BB123" s="108"/>
      <c r="BC123" s="108">
        <f>AVERAGE(BC36:BD36)</f>
        <v>4487.2700000000004</v>
      </c>
      <c r="BD123" s="108"/>
      <c r="BE123" s="108"/>
      <c r="BF123" s="108"/>
      <c r="BG123" s="108">
        <f>AVERAGE(BG36:BH36)</f>
        <v>61536</v>
      </c>
      <c r="BH123" s="108">
        <f>AVERAGE(BH36:BI36)</f>
        <v>35746.5</v>
      </c>
      <c r="BI123" s="108">
        <f>AVERAGE(BI36:BJ36)</f>
        <v>14779</v>
      </c>
      <c r="BJ123" s="108">
        <f>AVERAGE(BJ36:BK36)</f>
        <v>13739</v>
      </c>
      <c r="BK123" s="108"/>
      <c r="BL123" s="108">
        <f>AVERAGE(BL36:BN36)</f>
        <v>8230.8119999999999</v>
      </c>
      <c r="BM123" s="108"/>
      <c r="BN123" s="108">
        <f>AVERAGE(BN36:BO36)</f>
        <v>8077.7635</v>
      </c>
      <c r="BO123" s="108">
        <f>AVERAGE(BO36:BP36)</f>
        <v>7243.7620000000006</v>
      </c>
      <c r="BP123" s="108">
        <f>AVERAGE(BP36:BQ36)</f>
        <v>6118.1669999999995</v>
      </c>
      <c r="BQ123" s="108">
        <f>AVERAGE(BQ36:BR36)</f>
        <v>5673.5249999999996</v>
      </c>
      <c r="BR123" s="108"/>
      <c r="BS123" s="108">
        <f>AVERAGE(BS36:BU36)</f>
        <v>1025.0619999999999</v>
      </c>
      <c r="BT123" s="108"/>
      <c r="BU123" s="108">
        <f t="shared" ref="BU123:BZ123" si="75">AVERAGE(BU36:BV36)</f>
        <v>650.75499999999988</v>
      </c>
      <c r="BV123" s="108">
        <f t="shared" si="75"/>
        <v>276.44799999999998</v>
      </c>
      <c r="BW123" s="108">
        <f>AVERAGE(BW36:BY36)</f>
        <v>14666</v>
      </c>
      <c r="BX123" s="108"/>
      <c r="BY123" s="108">
        <f t="shared" si="75"/>
        <v>13431.5</v>
      </c>
      <c r="BZ123" s="108">
        <f t="shared" si="75"/>
        <v>12197</v>
      </c>
      <c r="CA123" s="108"/>
      <c r="CB123" s="108"/>
      <c r="CC123" s="108">
        <f>AVERAGE(CC36:CD36)</f>
        <v>4182.9555</v>
      </c>
      <c r="CD123" s="108">
        <f>AVERAGE(CD36:CE36)</f>
        <v>1420.1310000000001</v>
      </c>
      <c r="CE123" s="108">
        <f>AVERAGE(CE36:CF36)</f>
        <v>856.43600000000004</v>
      </c>
      <c r="CF123" s="108"/>
      <c r="CG123" s="108">
        <f>AVERAGE(CG36:CI36)</f>
        <v>29163</v>
      </c>
      <c r="CH123" s="108"/>
      <c r="CI123" s="108">
        <f>AVERAGE(CI36:CJ36)</f>
        <v>28331</v>
      </c>
      <c r="CJ123" s="108">
        <f>AVERAGE(CJ36:CK36)</f>
        <v>27499</v>
      </c>
      <c r="CK123" s="108">
        <f>AVERAGE(CK36:CM36)</f>
        <v>2363.902</v>
      </c>
      <c r="CL123" s="108"/>
      <c r="CM123" s="108">
        <f>AVERAGE(CM36:CN36)</f>
        <v>2322.9139999999998</v>
      </c>
      <c r="CN123" s="108">
        <f>AVERAGE(CN36:CR36)</f>
        <v>2281.9259999999999</v>
      </c>
      <c r="CO123" s="108"/>
      <c r="CP123" s="108"/>
      <c r="CQ123" s="108"/>
      <c r="CR123" s="108">
        <f>AVERAGE(CR36:CT36)</f>
        <v>731.94799999999998</v>
      </c>
      <c r="CS123" s="108"/>
      <c r="CT123" s="108">
        <f>AVERAGE(CT36:CU36)</f>
        <v>351.089</v>
      </c>
      <c r="CU123" s="108">
        <f>AVERAGE(CU36:CV36)</f>
        <v>-29.77</v>
      </c>
      <c r="CV123" s="108">
        <f>AVERAGE(CV36:CX36)</f>
        <v>1109.5050000000001</v>
      </c>
      <c r="CW123" s="108"/>
      <c r="CX123" s="108">
        <f>AVERAGE(CX36:CY36)</f>
        <v>972.38300000000004</v>
      </c>
      <c r="CY123" s="108">
        <f>AVERAGE(CY36:DB36)</f>
        <v>835.26099999999997</v>
      </c>
      <c r="CZ123" s="108"/>
      <c r="DA123" s="108"/>
      <c r="DB123" s="108">
        <f>AVERAGE(DB36:DD36)</f>
        <v>370</v>
      </c>
      <c r="DC123" s="108"/>
      <c r="DD123" s="108">
        <f>AVERAGE(DD36:DE36)</f>
        <v>375</v>
      </c>
      <c r="DE123" s="108">
        <f>AVERAGE(DE36:DF36)</f>
        <v>380</v>
      </c>
      <c r="DF123" s="108">
        <f>AVERAGE(DF36:DH36)</f>
        <v>14629.886</v>
      </c>
      <c r="DG123" s="108"/>
      <c r="DH123" s="108">
        <f>AVERAGE(DH36:DI36)</f>
        <v>12108.112000000001</v>
      </c>
      <c r="DI123" s="108">
        <f>AVERAGE(DI36:DM36)</f>
        <v>9586.3379999999997</v>
      </c>
      <c r="DJ123" s="108"/>
      <c r="DK123" s="108"/>
      <c r="DL123" s="108"/>
      <c r="DM123" s="108">
        <f>AVERAGE(DM36:DO36)</f>
        <v>21878</v>
      </c>
      <c r="DN123" s="108"/>
      <c r="DO123" s="108">
        <f>AVERAGE(DO36:DP36)</f>
        <v>17911.5</v>
      </c>
      <c r="DP123" s="108">
        <f>AVERAGE(DP36:DT36)</f>
        <v>13945</v>
      </c>
      <c r="DQ123" s="108"/>
      <c r="DR123" s="108"/>
      <c r="DS123" s="108"/>
      <c r="DT123" s="108">
        <f>AVERAGE(DT36:DV36)</f>
        <v>517.78099999999995</v>
      </c>
      <c r="DU123" s="108"/>
      <c r="DV123" s="108">
        <f t="shared" ref="DV123:GE123" si="76">AVERAGE(DV36:DW36)</f>
        <v>563.43799999999999</v>
      </c>
      <c r="DW123" s="108">
        <f t="shared" si="76"/>
        <v>609.09500000000003</v>
      </c>
      <c r="DX123" s="108">
        <f>AVERAGE(DX36:DZ36)</f>
        <v>45831</v>
      </c>
      <c r="DY123" s="108"/>
      <c r="DZ123" s="108">
        <f t="shared" si="76"/>
        <v>44099.5</v>
      </c>
      <c r="EA123" s="108">
        <f t="shared" si="76"/>
        <v>42368</v>
      </c>
      <c r="EB123" s="108">
        <f>AVERAGE(EB36:ED36)</f>
        <v>102482.94100000001</v>
      </c>
      <c r="EC123" s="108"/>
      <c r="ED123" s="108">
        <f t="shared" si="76"/>
        <v>95171.393000000011</v>
      </c>
      <c r="EE123" s="108">
        <f t="shared" si="76"/>
        <v>87859.845000000001</v>
      </c>
      <c r="EF123" s="108">
        <f>AVERAGE(EF36:EH36)</f>
        <v>866.53899999999999</v>
      </c>
      <c r="EG123" s="108"/>
      <c r="EH123" s="108">
        <f t="shared" si="76"/>
        <v>794.78050000000007</v>
      </c>
      <c r="EI123" s="108">
        <f t="shared" si="76"/>
        <v>723.02200000000005</v>
      </c>
      <c r="EJ123" s="108">
        <f>AVERAGE(EJ36:EL36)</f>
        <v>13458</v>
      </c>
      <c r="EK123" s="108"/>
      <c r="EL123" s="108">
        <f t="shared" si="76"/>
        <v>13713.5</v>
      </c>
      <c r="EM123" s="108">
        <f t="shared" si="76"/>
        <v>13969</v>
      </c>
      <c r="EN123" s="108">
        <f>AVERAGE(EN36:EP36)</f>
        <v>2302.4369999999999</v>
      </c>
      <c r="EO123" s="108"/>
      <c r="EP123" s="108">
        <f t="shared" si="76"/>
        <v>2097.0904999999998</v>
      </c>
      <c r="EQ123" s="108">
        <f t="shared" si="76"/>
        <v>1891.7439999999999</v>
      </c>
      <c r="ER123" s="108">
        <f>AVERAGE(ER36:ET36)</f>
        <v>6762.8680000000004</v>
      </c>
      <c r="ES123" s="108"/>
      <c r="ET123" s="108">
        <f t="shared" si="76"/>
        <v>6622.1244999999999</v>
      </c>
      <c r="EU123" s="108">
        <f t="shared" si="76"/>
        <v>6481.3810000000003</v>
      </c>
      <c r="EV123" s="108">
        <f>AVERAGE(EV36:EX36)</f>
        <v>637.03499999999997</v>
      </c>
      <c r="EW123" s="108"/>
      <c r="EX123" s="108">
        <f t="shared" si="76"/>
        <v>637.03499999999997</v>
      </c>
      <c r="EY123" s="108" t="e">
        <f t="shared" si="76"/>
        <v>#DIV/0!</v>
      </c>
      <c r="EZ123" s="108">
        <f>AVERAGE(EZ36:FB36)</f>
        <v>1299.6420000000001</v>
      </c>
      <c r="FA123" s="108"/>
      <c r="FB123" s="108">
        <f t="shared" si="76"/>
        <v>1383.2069999999999</v>
      </c>
      <c r="FC123" s="108">
        <f t="shared" si="76"/>
        <v>1466.7719999999999</v>
      </c>
      <c r="FD123" s="108">
        <f>AVERAGE(FD36:FF36)</f>
        <v>27240</v>
      </c>
      <c r="FE123" s="108"/>
      <c r="FF123" s="108">
        <f t="shared" si="76"/>
        <v>26957.5</v>
      </c>
      <c r="FG123" s="108">
        <f t="shared" si="76"/>
        <v>26675</v>
      </c>
      <c r="FH123" s="108">
        <f>AVERAGE(FH36:FJ36)</f>
        <v>3424.3130000000001</v>
      </c>
      <c r="FI123" s="108"/>
      <c r="FJ123" s="108">
        <f t="shared" si="76"/>
        <v>2742.8285000000001</v>
      </c>
      <c r="FK123" s="108">
        <f t="shared" si="76"/>
        <v>2061.3440000000001</v>
      </c>
      <c r="FL123" s="108">
        <f>AVERAGE(FL36:FN36)</f>
        <v>22775.282999999999</v>
      </c>
      <c r="FM123" s="108"/>
      <c r="FN123" s="108">
        <f t="shared" si="76"/>
        <v>23467.804</v>
      </c>
      <c r="FO123" s="108">
        <f t="shared" si="76"/>
        <v>24160.325000000001</v>
      </c>
      <c r="FP123" s="108">
        <f>AVERAGE(FP36:FR36)</f>
        <v>1329.2159999999999</v>
      </c>
      <c r="FQ123" s="108"/>
      <c r="FR123" s="108">
        <f t="shared" si="76"/>
        <v>350.29699999999997</v>
      </c>
      <c r="FS123" s="108">
        <f t="shared" si="76"/>
        <v>-628.62199999999996</v>
      </c>
      <c r="FT123" s="108">
        <f>AVERAGE(FT36:FV36)</f>
        <v>984.89400000000001</v>
      </c>
      <c r="FU123" s="108"/>
      <c r="FV123" s="108">
        <f t="shared" si="76"/>
        <v>552.50250000000005</v>
      </c>
      <c r="FW123" s="108">
        <f t="shared" si="76"/>
        <v>120.111</v>
      </c>
      <c r="FX123" s="108">
        <f>AVERAGE(FX36:FZ36)</f>
        <v>25960</v>
      </c>
      <c r="FY123" s="108"/>
      <c r="FZ123" s="108">
        <f t="shared" si="76"/>
        <v>23927.5</v>
      </c>
      <c r="GA123" s="108">
        <f t="shared" si="76"/>
        <v>21895</v>
      </c>
      <c r="GB123" s="108">
        <f>AVERAGE(GB36:GD36)</f>
        <v>140.851</v>
      </c>
      <c r="GC123" s="108"/>
      <c r="GD123" s="108">
        <f t="shared" si="76"/>
        <v>96.542500000000004</v>
      </c>
      <c r="GE123" s="108">
        <f t="shared" si="76"/>
        <v>52.234000000000002</v>
      </c>
      <c r="GF123" s="108">
        <f>AVERAGE(GF36:GH36)</f>
        <v>23454.073</v>
      </c>
      <c r="GG123" s="108"/>
      <c r="GH123" s="108">
        <f t="shared" ref="GH123:GY123" si="77">AVERAGE(GH36:GI36)</f>
        <v>27689.063000000002</v>
      </c>
      <c r="GI123" s="108">
        <f t="shared" si="77"/>
        <v>31924.053</v>
      </c>
      <c r="GJ123" s="108">
        <f>AVERAGE(GJ36:GL36)</f>
        <v>5010.5640000000003</v>
      </c>
      <c r="GK123" s="108"/>
      <c r="GL123" s="108">
        <f t="shared" si="77"/>
        <v>5160.3530000000001</v>
      </c>
      <c r="GM123" s="108">
        <f t="shared" si="77"/>
        <v>5310.1419999999998</v>
      </c>
      <c r="GN123" s="108">
        <f>AVERAGE(GN36:GP36)</f>
        <v>-24093</v>
      </c>
      <c r="GO123" s="108"/>
      <c r="GP123" s="108">
        <f t="shared" si="77"/>
        <v>-4299.5</v>
      </c>
      <c r="GQ123" s="108">
        <f t="shared" si="77"/>
        <v>15494</v>
      </c>
      <c r="GR123" s="108">
        <f>AVERAGE(GR36:GT36)</f>
        <v>4</v>
      </c>
      <c r="GS123" s="108"/>
      <c r="GT123" s="108">
        <f t="shared" si="77"/>
        <v>4</v>
      </c>
      <c r="GU123" s="108" t="e">
        <f t="shared" si="77"/>
        <v>#DIV/0!</v>
      </c>
      <c r="GV123" s="108">
        <f>AVERAGE(GV36:GX36)</f>
        <v>2380.6640000000002</v>
      </c>
      <c r="GW123" s="108"/>
      <c r="GX123" s="108">
        <f t="shared" si="77"/>
        <v>2132.4245000000001</v>
      </c>
      <c r="GY123" s="108">
        <f t="shared" si="77"/>
        <v>1884.1849999999999</v>
      </c>
      <c r="GZ123" s="108">
        <f>AVERAGE(GZ36:HB36)</f>
        <v>98.533000000000001</v>
      </c>
      <c r="HA123" s="108"/>
      <c r="HB123" s="108">
        <f t="shared" ref="HB123:HH123" si="78">AVERAGE(HB36:HC36)</f>
        <v>98.533000000000001</v>
      </c>
      <c r="HC123" s="108" t="e">
        <f t="shared" si="78"/>
        <v>#DIV/0!</v>
      </c>
      <c r="HD123" s="108">
        <f>AVERAGE(HD36:HF36)</f>
        <v>816.14599999999996</v>
      </c>
      <c r="HE123" s="108"/>
      <c r="HF123" s="108">
        <f t="shared" si="78"/>
        <v>576.50049999999999</v>
      </c>
      <c r="HG123" s="108">
        <f t="shared" si="78"/>
        <v>206.0565</v>
      </c>
      <c r="HH123" s="108">
        <f t="shared" si="78"/>
        <v>75.257999999999996</v>
      </c>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176" customFormat="1" x14ac:dyDescent="0.2">
      <c r="A124" s="10"/>
      <c r="B124" s="175" t="s">
        <v>300</v>
      </c>
      <c r="C124" s="118"/>
      <c r="D124" s="118"/>
      <c r="E124" s="108">
        <f>E36</f>
        <v>16323.263999999999</v>
      </c>
      <c r="F124" s="108">
        <f>F36</f>
        <v>15680.133</v>
      </c>
      <c r="G124" s="108">
        <f>G36</f>
        <v>14949.546</v>
      </c>
      <c r="H124" s="108">
        <f>H36</f>
        <v>12983.726000000001</v>
      </c>
      <c r="I124" s="108"/>
      <c r="J124" s="108">
        <f>J36</f>
        <v>0</v>
      </c>
      <c r="K124" s="108"/>
      <c r="L124" s="108">
        <f>L36</f>
        <v>4445.5879999999997</v>
      </c>
      <c r="M124" s="108">
        <f>M36</f>
        <v>4884</v>
      </c>
      <c r="N124" s="108"/>
      <c r="O124" s="108"/>
      <c r="P124" s="108">
        <f>P36</f>
        <v>5786.0609999999997</v>
      </c>
      <c r="Q124" s="108">
        <f>Q36</f>
        <v>5559.6409999999996</v>
      </c>
      <c r="R124" s="108">
        <f>R36</f>
        <v>5365.03</v>
      </c>
      <c r="S124" s="108">
        <f>S36</f>
        <v>5186.8360000000002</v>
      </c>
      <c r="T124" s="108"/>
      <c r="U124" s="108"/>
      <c r="V124" s="108"/>
      <c r="W124" s="108">
        <f>W36</f>
        <v>3302.2910000000002</v>
      </c>
      <c r="X124" s="108">
        <f>X36</f>
        <v>2738.4479999999999</v>
      </c>
      <c r="Y124" s="108">
        <f>Y36</f>
        <v>2783.8870000000002</v>
      </c>
      <c r="Z124" s="108">
        <f>Z36</f>
        <v>2681.4059999999999</v>
      </c>
      <c r="AA124" s="108"/>
      <c r="AB124" s="108"/>
      <c r="AC124" s="108"/>
      <c r="AD124" s="108">
        <f>AD36</f>
        <v>1445.47</v>
      </c>
      <c r="AE124" s="108">
        <f>AE36</f>
        <v>417.97699999999998</v>
      </c>
      <c r="AF124" s="108"/>
      <c r="AG124" s="108"/>
      <c r="AH124" s="108">
        <f>AH36</f>
        <v>2794.1210000000001</v>
      </c>
      <c r="AI124" s="108">
        <f>AI36</f>
        <v>754.09400000000005</v>
      </c>
      <c r="AJ124" s="108"/>
      <c r="AK124" s="108"/>
      <c r="AL124" s="108">
        <f>AL36</f>
        <v>1225.5650000000001</v>
      </c>
      <c r="AM124" s="108">
        <f>AM36</f>
        <v>566.91</v>
      </c>
      <c r="AN124" s="108"/>
      <c r="AO124" s="108"/>
      <c r="AP124" s="108"/>
      <c r="AQ124" s="108"/>
      <c r="AR124" s="108">
        <f>AR36</f>
        <v>2281.6030000000001</v>
      </c>
      <c r="AS124" s="108">
        <f>AS36</f>
        <v>1639.5219999999999</v>
      </c>
      <c r="AT124" s="108">
        <f>AT36</f>
        <v>1194.9280000000001</v>
      </c>
      <c r="AU124" s="108">
        <f>AU36</f>
        <v>1033.6379999999999</v>
      </c>
      <c r="AV124" s="108"/>
      <c r="AW124" s="108">
        <f>AW36</f>
        <v>0</v>
      </c>
      <c r="AX124" s="108"/>
      <c r="AY124" s="108">
        <f>AY36</f>
        <v>3242</v>
      </c>
      <c r="AZ124" s="108">
        <f>AZ36</f>
        <v>3067</v>
      </c>
      <c r="BA124" s="108">
        <f>BA36</f>
        <v>0</v>
      </c>
      <c r="BB124" s="108"/>
      <c r="BC124" s="108">
        <f>BC36</f>
        <v>0</v>
      </c>
      <c r="BD124" s="108"/>
      <c r="BE124" s="108"/>
      <c r="BF124" s="108"/>
      <c r="BG124" s="108">
        <f>BG36</f>
        <v>67398</v>
      </c>
      <c r="BH124" s="108">
        <f>BH36</f>
        <v>55674</v>
      </c>
      <c r="BI124" s="108">
        <f>BI36</f>
        <v>15819</v>
      </c>
      <c r="BJ124" s="108">
        <f>BJ36</f>
        <v>13739</v>
      </c>
      <c r="BK124" s="108"/>
      <c r="BL124" s="108">
        <f>BL36</f>
        <v>0</v>
      </c>
      <c r="BM124" s="108"/>
      <c r="BN124" s="108">
        <f>BN36</f>
        <v>8230.8119999999999</v>
      </c>
      <c r="BO124" s="108">
        <f>BO36</f>
        <v>7924.7150000000001</v>
      </c>
      <c r="BP124" s="108">
        <f>BP36</f>
        <v>6562.8090000000002</v>
      </c>
      <c r="BQ124" s="108">
        <f>BQ36</f>
        <v>5673.5249999999996</v>
      </c>
      <c r="BR124" s="108"/>
      <c r="BS124" s="108">
        <f t="shared" ref="BS124:BZ124" si="79">BS36</f>
        <v>0</v>
      </c>
      <c r="BT124" s="108"/>
      <c r="BU124" s="108">
        <f t="shared" si="79"/>
        <v>1025.0619999999999</v>
      </c>
      <c r="BV124" s="108">
        <f t="shared" si="79"/>
        <v>276.44799999999998</v>
      </c>
      <c r="BW124" s="108">
        <f t="shared" si="79"/>
        <v>0</v>
      </c>
      <c r="BX124" s="108"/>
      <c r="BY124" s="108">
        <f t="shared" si="79"/>
        <v>14666</v>
      </c>
      <c r="BZ124" s="108">
        <f t="shared" si="79"/>
        <v>12197</v>
      </c>
      <c r="CA124" s="108"/>
      <c r="CB124" s="108"/>
      <c r="CC124" s="108">
        <f>CC36</f>
        <v>6382.085</v>
      </c>
      <c r="CD124" s="108">
        <f>CD36</f>
        <v>1983.826</v>
      </c>
      <c r="CE124" s="108">
        <f>CE36</f>
        <v>856.43600000000004</v>
      </c>
      <c r="CF124" s="108"/>
      <c r="CG124" s="108">
        <f t="shared" ref="CG124:CN124" si="80">CG36</f>
        <v>0</v>
      </c>
      <c r="CH124" s="108"/>
      <c r="CI124" s="108">
        <f t="shared" si="80"/>
        <v>29163</v>
      </c>
      <c r="CJ124" s="108">
        <f t="shared" si="80"/>
        <v>27499</v>
      </c>
      <c r="CK124" s="108">
        <f t="shared" si="80"/>
        <v>0</v>
      </c>
      <c r="CL124" s="108"/>
      <c r="CM124" s="108">
        <f t="shared" si="80"/>
        <v>2363.902</v>
      </c>
      <c r="CN124" s="108">
        <f t="shared" si="80"/>
        <v>2281.9259999999999</v>
      </c>
      <c r="CO124" s="108"/>
      <c r="CP124" s="108"/>
      <c r="CQ124" s="108"/>
      <c r="CR124" s="108">
        <f t="shared" ref="CR124:CY124" si="81">CR36</f>
        <v>0</v>
      </c>
      <c r="CS124" s="108"/>
      <c r="CT124" s="108">
        <f t="shared" si="81"/>
        <v>731.94799999999998</v>
      </c>
      <c r="CU124" s="108">
        <f t="shared" si="81"/>
        <v>-29.77</v>
      </c>
      <c r="CV124" s="108">
        <f t="shared" si="81"/>
        <v>0</v>
      </c>
      <c r="CW124" s="108"/>
      <c r="CX124" s="108">
        <f t="shared" si="81"/>
        <v>1109.5050000000001</v>
      </c>
      <c r="CY124" s="108">
        <f t="shared" si="81"/>
        <v>835.26099999999997</v>
      </c>
      <c r="CZ124" s="108"/>
      <c r="DA124" s="108"/>
      <c r="DB124" s="108">
        <f t="shared" ref="DB124:DI124" si="82">DB36</f>
        <v>0</v>
      </c>
      <c r="DC124" s="108"/>
      <c r="DD124" s="108">
        <f t="shared" si="82"/>
        <v>370</v>
      </c>
      <c r="DE124" s="108">
        <f t="shared" si="82"/>
        <v>380</v>
      </c>
      <c r="DF124" s="108">
        <f t="shared" si="82"/>
        <v>0</v>
      </c>
      <c r="DG124" s="108"/>
      <c r="DH124" s="108">
        <f t="shared" si="82"/>
        <v>14629.886</v>
      </c>
      <c r="DI124" s="108">
        <f t="shared" si="82"/>
        <v>9586.3379999999997</v>
      </c>
      <c r="DJ124" s="108"/>
      <c r="DK124" s="108"/>
      <c r="DL124" s="108"/>
      <c r="DM124" s="108">
        <f>DM36</f>
        <v>0</v>
      </c>
      <c r="DN124" s="108"/>
      <c r="DO124" s="108">
        <f>DO36</f>
        <v>21878</v>
      </c>
      <c r="DP124" s="108">
        <f>DP36</f>
        <v>13945</v>
      </c>
      <c r="DQ124" s="108"/>
      <c r="DR124" s="108"/>
      <c r="DS124" s="108"/>
      <c r="DT124" s="108">
        <f t="shared" ref="DT124:GE124" si="83">DT36</f>
        <v>0</v>
      </c>
      <c r="DU124" s="108"/>
      <c r="DV124" s="108">
        <f t="shared" si="83"/>
        <v>517.78099999999995</v>
      </c>
      <c r="DW124" s="108">
        <f t="shared" si="83"/>
        <v>609.09500000000003</v>
      </c>
      <c r="DX124" s="108">
        <f t="shared" si="83"/>
        <v>0</v>
      </c>
      <c r="DY124" s="108"/>
      <c r="DZ124" s="108">
        <f t="shared" si="83"/>
        <v>45831</v>
      </c>
      <c r="EA124" s="108">
        <f t="shared" si="83"/>
        <v>42368</v>
      </c>
      <c r="EB124" s="108">
        <f t="shared" si="83"/>
        <v>0</v>
      </c>
      <c r="EC124" s="108"/>
      <c r="ED124" s="108">
        <f t="shared" si="83"/>
        <v>102482.94100000001</v>
      </c>
      <c r="EE124" s="108">
        <f t="shared" si="83"/>
        <v>87859.845000000001</v>
      </c>
      <c r="EF124" s="108">
        <f t="shared" si="83"/>
        <v>0</v>
      </c>
      <c r="EG124" s="108"/>
      <c r="EH124" s="108">
        <f t="shared" si="83"/>
        <v>866.53899999999999</v>
      </c>
      <c r="EI124" s="108">
        <f t="shared" si="83"/>
        <v>723.02200000000005</v>
      </c>
      <c r="EJ124" s="108">
        <f t="shared" si="83"/>
        <v>0</v>
      </c>
      <c r="EK124" s="108"/>
      <c r="EL124" s="108">
        <f t="shared" si="83"/>
        <v>13458</v>
      </c>
      <c r="EM124" s="108">
        <f t="shared" si="83"/>
        <v>13969</v>
      </c>
      <c r="EN124" s="108">
        <f t="shared" si="83"/>
        <v>0</v>
      </c>
      <c r="EO124" s="108"/>
      <c r="EP124" s="108">
        <f t="shared" si="83"/>
        <v>2302.4369999999999</v>
      </c>
      <c r="EQ124" s="108">
        <f t="shared" si="83"/>
        <v>1891.7439999999999</v>
      </c>
      <c r="ER124" s="108">
        <f t="shared" si="83"/>
        <v>0</v>
      </c>
      <c r="ES124" s="108"/>
      <c r="ET124" s="108">
        <f t="shared" si="83"/>
        <v>6762.8680000000004</v>
      </c>
      <c r="EU124" s="108">
        <f t="shared" si="83"/>
        <v>6481.3810000000003</v>
      </c>
      <c r="EV124" s="108">
        <f t="shared" si="83"/>
        <v>0</v>
      </c>
      <c r="EW124" s="108"/>
      <c r="EX124" s="108">
        <f t="shared" si="83"/>
        <v>637.03499999999997</v>
      </c>
      <c r="EY124" s="108">
        <f t="shared" si="83"/>
        <v>0</v>
      </c>
      <c r="EZ124" s="108">
        <f t="shared" si="83"/>
        <v>0</v>
      </c>
      <c r="FA124" s="108"/>
      <c r="FB124" s="108">
        <f t="shared" si="83"/>
        <v>1299.6420000000001</v>
      </c>
      <c r="FC124" s="108">
        <f t="shared" si="83"/>
        <v>1466.7719999999999</v>
      </c>
      <c r="FD124" s="108">
        <f t="shared" si="83"/>
        <v>0</v>
      </c>
      <c r="FE124" s="108"/>
      <c r="FF124" s="108">
        <f t="shared" si="83"/>
        <v>27240</v>
      </c>
      <c r="FG124" s="108">
        <f t="shared" si="83"/>
        <v>26675</v>
      </c>
      <c r="FH124" s="108">
        <f t="shared" si="83"/>
        <v>0</v>
      </c>
      <c r="FI124" s="108"/>
      <c r="FJ124" s="108">
        <f t="shared" si="83"/>
        <v>3424.3130000000001</v>
      </c>
      <c r="FK124" s="108">
        <f t="shared" si="83"/>
        <v>2061.3440000000001</v>
      </c>
      <c r="FL124" s="108">
        <f t="shared" si="83"/>
        <v>0</v>
      </c>
      <c r="FM124" s="108"/>
      <c r="FN124" s="108">
        <f t="shared" si="83"/>
        <v>22775.282999999999</v>
      </c>
      <c r="FO124" s="108">
        <f t="shared" si="83"/>
        <v>24160.325000000001</v>
      </c>
      <c r="FP124" s="108">
        <f t="shared" si="83"/>
        <v>0</v>
      </c>
      <c r="FQ124" s="108"/>
      <c r="FR124" s="108">
        <f t="shared" si="83"/>
        <v>1329.2159999999999</v>
      </c>
      <c r="FS124" s="108">
        <f t="shared" si="83"/>
        <v>-628.62199999999996</v>
      </c>
      <c r="FT124" s="108">
        <f t="shared" si="83"/>
        <v>0</v>
      </c>
      <c r="FU124" s="108"/>
      <c r="FV124" s="108">
        <f t="shared" si="83"/>
        <v>984.89400000000001</v>
      </c>
      <c r="FW124" s="108">
        <f t="shared" si="83"/>
        <v>120.111</v>
      </c>
      <c r="FX124" s="108">
        <f t="shared" si="83"/>
        <v>0</v>
      </c>
      <c r="FY124" s="108"/>
      <c r="FZ124" s="108">
        <f t="shared" si="83"/>
        <v>25960</v>
      </c>
      <c r="GA124" s="108">
        <f t="shared" si="83"/>
        <v>21895</v>
      </c>
      <c r="GB124" s="108">
        <f t="shared" si="83"/>
        <v>0</v>
      </c>
      <c r="GC124" s="108"/>
      <c r="GD124" s="108">
        <f t="shared" si="83"/>
        <v>140.851</v>
      </c>
      <c r="GE124" s="108">
        <f t="shared" si="83"/>
        <v>52.234000000000002</v>
      </c>
      <c r="GF124" s="108">
        <f t="shared" ref="GF124:GZ124" si="84">GF36</f>
        <v>0</v>
      </c>
      <c r="GG124" s="108"/>
      <c r="GH124" s="108">
        <f t="shared" si="84"/>
        <v>23454.073</v>
      </c>
      <c r="GI124" s="108">
        <f t="shared" si="84"/>
        <v>31924.053</v>
      </c>
      <c r="GJ124" s="108">
        <f t="shared" si="84"/>
        <v>0</v>
      </c>
      <c r="GK124" s="108"/>
      <c r="GL124" s="108">
        <f t="shared" si="84"/>
        <v>5010.5640000000003</v>
      </c>
      <c r="GM124" s="108">
        <f t="shared" si="84"/>
        <v>5310.1419999999998</v>
      </c>
      <c r="GN124" s="108">
        <f t="shared" si="84"/>
        <v>0</v>
      </c>
      <c r="GO124" s="108"/>
      <c r="GP124" s="108">
        <f t="shared" si="84"/>
        <v>-24093</v>
      </c>
      <c r="GQ124" s="108">
        <f t="shared" si="84"/>
        <v>15494</v>
      </c>
      <c r="GR124" s="108">
        <f t="shared" si="84"/>
        <v>0</v>
      </c>
      <c r="GS124" s="108"/>
      <c r="GT124" s="108">
        <f t="shared" si="84"/>
        <v>4</v>
      </c>
      <c r="GU124" s="108">
        <f t="shared" si="84"/>
        <v>0</v>
      </c>
      <c r="GV124" s="108">
        <f t="shared" si="84"/>
        <v>0</v>
      </c>
      <c r="GW124" s="108"/>
      <c r="GX124" s="108">
        <f t="shared" si="84"/>
        <v>2380.6640000000002</v>
      </c>
      <c r="GY124" s="108">
        <f t="shared" si="84"/>
        <v>1884.1849999999999</v>
      </c>
      <c r="GZ124" s="108">
        <f t="shared" si="84"/>
        <v>0</v>
      </c>
      <c r="HA124" s="108"/>
      <c r="HB124" s="108">
        <f>HB36</f>
        <v>98.533000000000001</v>
      </c>
      <c r="HC124" s="108">
        <f>HC36</f>
        <v>0</v>
      </c>
      <c r="HD124" s="108">
        <f>HD36</f>
        <v>0</v>
      </c>
      <c r="HE124" s="108"/>
      <c r="HF124" s="108">
        <f>HF36</f>
        <v>816.14599999999996</v>
      </c>
      <c r="HG124" s="108">
        <f>HG36</f>
        <v>336.85500000000002</v>
      </c>
      <c r="HH124" s="108">
        <f>HH36</f>
        <v>75.257999999999996</v>
      </c>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176" customFormat="1" x14ac:dyDescent="0.2">
      <c r="A125" s="10"/>
      <c r="B125" s="175" t="s">
        <v>301</v>
      </c>
      <c r="C125" s="118"/>
      <c r="D125" s="118"/>
      <c r="E125" s="108">
        <f>AVERAGE(E33:F33)+AVERAGE(E34:F34)</f>
        <v>175784.8345</v>
      </c>
      <c r="F125" s="108">
        <f>AVERAGE(F33:G33)+AVERAGE(F34:G34)</f>
        <v>147900.76449999999</v>
      </c>
      <c r="G125" s="108">
        <f>AVERAGE(G33:H33)+AVERAGE(G34:H34)</f>
        <v>129939.21950000001</v>
      </c>
      <c r="H125" s="108">
        <f>AVERAGE(H33:I33)+AVERAGE(H34:I34)</f>
        <v>123732.6</v>
      </c>
      <c r="I125" s="108"/>
      <c r="J125" s="108">
        <f>AVERAGE(J33:L33)+AVERAGE(J34:L34)</f>
        <v>355.90300000000002</v>
      </c>
      <c r="K125" s="108"/>
      <c r="L125" s="108">
        <f>AVERAGE(L33:M33)+AVERAGE(L34:M34)</f>
        <v>2909.9515000000001</v>
      </c>
      <c r="M125" s="108">
        <f>AVERAGE(M33:N33)+AVERAGE(M34:N34)</f>
        <v>5464</v>
      </c>
      <c r="N125" s="108"/>
      <c r="O125" s="108"/>
      <c r="P125" s="108">
        <f>AVERAGE(P33:Q33)+AVERAGE(P34:Q34)</f>
        <v>23159.105499999998</v>
      </c>
      <c r="Q125" s="108">
        <f>AVERAGE(Q33:R33)+AVERAGE(Q34:R34)</f>
        <v>21425.665499999999</v>
      </c>
      <c r="R125" s="108">
        <f>AVERAGE(R33:S33)+AVERAGE(R34:S34)</f>
        <v>21475.308000000001</v>
      </c>
      <c r="S125" s="108">
        <f>AVERAGE(S33:T33)+AVERAGE(S34:T34)</f>
        <v>21610.831000000002</v>
      </c>
      <c r="T125" s="108"/>
      <c r="U125" s="108"/>
      <c r="V125" s="108"/>
      <c r="W125" s="108">
        <f>AVERAGE(W33:X33)+AVERAGE(W34:X34)</f>
        <v>23828.951499999999</v>
      </c>
      <c r="X125" s="108">
        <f>AVERAGE(X33:Y33)+AVERAGE(X34:Y34)</f>
        <v>20223.734499999999</v>
      </c>
      <c r="Y125" s="108">
        <f>AVERAGE(Y33:Z33)+AVERAGE(Y34:Z34)</f>
        <v>18026.201999999997</v>
      </c>
      <c r="Z125" s="108">
        <f>AVERAGE(Z33:AA33)+AVERAGE(Z34:AA34)</f>
        <v>17041.814999999999</v>
      </c>
      <c r="AA125" s="108"/>
      <c r="AB125" s="108"/>
      <c r="AC125" s="108"/>
      <c r="AD125" s="108">
        <f>AVERAGE(AD33:AE33)+AVERAGE(AD34:AE34)</f>
        <v>10424.4655</v>
      </c>
      <c r="AE125" s="108">
        <f>AVERAGE(AE33:AF33)+AVERAGE(AE34:AF34)</f>
        <v>10592.867</v>
      </c>
      <c r="AF125" s="108"/>
      <c r="AG125" s="108"/>
      <c r="AH125" s="108">
        <f>AVERAGE(AH33:AI33)+AVERAGE(AH34:AI34)</f>
        <v>20559.353500000001</v>
      </c>
      <c r="AI125" s="108">
        <f>AVERAGE(AI33:AJ33)+AVERAGE(AI34:AJ34)</f>
        <v>7428.9</v>
      </c>
      <c r="AJ125" s="108"/>
      <c r="AK125" s="108"/>
      <c r="AL125" s="108">
        <f>AVERAGE(AL33:AM33)+AVERAGE(AL34:AM34)</f>
        <v>3690.1770000000001</v>
      </c>
      <c r="AM125" s="108">
        <f>AVERAGE(AM33:AP33)+AVERAGE(AM34:AP34)</f>
        <v>2045.8939999999998</v>
      </c>
      <c r="AN125" s="108"/>
      <c r="AO125" s="108"/>
      <c r="AP125" s="108"/>
      <c r="AQ125" s="108"/>
      <c r="AR125" s="108">
        <f>AVERAGE(AR33:AS33)+AVERAGE(AR34:AS34)</f>
        <v>9234.2304999999997</v>
      </c>
      <c r="AS125" s="108">
        <f>AVERAGE(AS33:AT33)+AVERAGE(AS34:AT34)</f>
        <v>7018.3645000000006</v>
      </c>
      <c r="AT125" s="108">
        <f>AVERAGE(AT33:AU33)+AVERAGE(AT34:AU34)</f>
        <v>5187.4585000000006</v>
      </c>
      <c r="AU125" s="108">
        <f>AVERAGE(AU33:AW33)+AVERAGE(AU34:AW34)</f>
        <v>3971.7179999999998</v>
      </c>
      <c r="AV125" s="108"/>
      <c r="AW125" s="108">
        <f>AVERAGE(AW33:AY33)+AVERAGE(AW34:AY34)</f>
        <v>547207</v>
      </c>
      <c r="AX125" s="108"/>
      <c r="AY125" s="108">
        <f>AVERAGE(AY33:AZ33)+AVERAGE(AY34:AZ34)</f>
        <v>547207</v>
      </c>
      <c r="AZ125" s="108">
        <f>AVERAGE(AZ33:BA33)+AVERAGE(AZ34:BA34)</f>
        <v>547207</v>
      </c>
      <c r="BA125" s="108">
        <f>AVERAGE(BA33:BC33)+AVERAGE(BA34:BC34)</f>
        <v>0</v>
      </c>
      <c r="BB125" s="108"/>
      <c r="BC125" s="108">
        <f>AVERAGE(BC33:BD33)+AVERAGE(BC34:BD34)</f>
        <v>67002.244999999995</v>
      </c>
      <c r="BD125" s="108"/>
      <c r="BE125" s="108"/>
      <c r="BF125" s="108"/>
      <c r="BG125" s="108">
        <f>AVERAGE(BG33:BH33)+AVERAGE(BG34:BH34)</f>
        <v>436220.5</v>
      </c>
      <c r="BH125" s="108">
        <f>AVERAGE(BH33:BI33)+AVERAGE(BH34:BI34)</f>
        <v>388485</v>
      </c>
      <c r="BI125" s="108">
        <f>AVERAGE(BI33:BJ33)+AVERAGE(BI34:BJ34)</f>
        <v>175448.5</v>
      </c>
      <c r="BJ125" s="108">
        <f>AVERAGE(BJ33:BK33)+AVERAGE(BJ34:BK34)</f>
        <v>9177</v>
      </c>
      <c r="BK125" s="108"/>
      <c r="BL125" s="108">
        <f>AVERAGE(BL33:BN33)+AVERAGE(BL34:BN34)</f>
        <v>18039.670999999998</v>
      </c>
      <c r="BM125" s="108"/>
      <c r="BN125" s="108">
        <f>AVERAGE(BN33:BO33)+AVERAGE(BN34:BO34)</f>
        <v>16556.930999999997</v>
      </c>
      <c r="BO125" s="108">
        <f>AVERAGE(BO33:BP33)+AVERAGE(BO34:BP34)</f>
        <v>8438.6294999999991</v>
      </c>
      <c r="BP125" s="108">
        <f>AVERAGE(BP33:BQ33)+AVERAGE(BP34:BQ34)</f>
        <v>901.53400000000011</v>
      </c>
      <c r="BQ125" s="108">
        <f>AVERAGE(BQ33:BR33)+AVERAGE(BQ34:BR34)</f>
        <v>0</v>
      </c>
      <c r="BR125" s="108"/>
      <c r="BS125" s="108">
        <f>AVERAGE(BS33:BU33)+AVERAGE(BS34:BU34)</f>
        <v>4140.2139999999999</v>
      </c>
      <c r="BT125" s="108"/>
      <c r="BU125" s="108">
        <f t="shared" ref="BU125:BZ125" si="85">AVERAGE(BU33:BV33)+AVERAGE(BU34:BV34)</f>
        <v>3766.4829999999997</v>
      </c>
      <c r="BV125" s="108">
        <f t="shared" si="85"/>
        <v>3392.752</v>
      </c>
      <c r="BW125" s="108">
        <f>AVERAGE(BW33:BY33)+AVERAGE(BW34:BY34)</f>
        <v>39424</v>
      </c>
      <c r="BX125" s="108"/>
      <c r="BY125" s="108">
        <f t="shared" si="85"/>
        <v>38881.5</v>
      </c>
      <c r="BZ125" s="108">
        <f t="shared" si="85"/>
        <v>38339</v>
      </c>
      <c r="CA125" s="108"/>
      <c r="CB125" s="108"/>
      <c r="CC125" s="108">
        <f>AVERAGE(CC33:CD33)+AVERAGE(CC34:CD34)</f>
        <v>76862.709298000002</v>
      </c>
      <c r="CD125" s="108">
        <f>AVERAGE(CD33:CE33)+AVERAGE(CD34:CE34)</f>
        <v>24680.006298</v>
      </c>
      <c r="CE125" s="108">
        <f>AVERAGE(CE33:CF33)+AVERAGE(CE34:CF34)</f>
        <v>14904.299000000001</v>
      </c>
      <c r="CF125" s="108"/>
      <c r="CG125" s="108">
        <f>AVERAGE(CG33:CI33)+AVERAGE(CG34:CI34)</f>
        <v>10790</v>
      </c>
      <c r="CH125" s="108"/>
      <c r="CI125" s="108">
        <f>AVERAGE(CI33:CJ33)+AVERAGE(CI34:CJ34)</f>
        <v>12108.5</v>
      </c>
      <c r="CJ125" s="108">
        <f>AVERAGE(CJ33:CK33)+AVERAGE(CJ34:CK34)</f>
        <v>13427</v>
      </c>
      <c r="CK125" s="108">
        <f>AVERAGE(CK33:CM33)+AVERAGE(CK34:CM34)</f>
        <v>4469.0610000000006</v>
      </c>
      <c r="CL125" s="108"/>
      <c r="CM125" s="108">
        <f>AVERAGE(CM33:CN33)+AVERAGE(CM34:CN34)</f>
        <v>4543.4049999999997</v>
      </c>
      <c r="CN125" s="108">
        <f>AVERAGE(CN33:CR33)+AVERAGE(CN34:CR34)</f>
        <v>4617.7489999999998</v>
      </c>
      <c r="CO125" s="108"/>
      <c r="CP125" s="108"/>
      <c r="CQ125" s="108"/>
      <c r="CR125" s="108">
        <f>AVERAGE(CR33:CT33)+AVERAGE(CR34:CT34)</f>
        <v>2758.6750000000002</v>
      </c>
      <c r="CS125" s="108"/>
      <c r="CT125" s="108">
        <f>AVERAGE(CT33:CU33)+AVERAGE(CT34:CU34)</f>
        <v>3108.2195000000002</v>
      </c>
      <c r="CU125" s="108">
        <f>AVERAGE(CU33:CV33)+AVERAGE(CU34:CV34)</f>
        <v>3457.7640000000001</v>
      </c>
      <c r="CV125" s="108">
        <f>AVERAGE(CV33:CX33)+AVERAGE(CV34:CX34)</f>
        <v>6587.625</v>
      </c>
      <c r="CW125" s="108"/>
      <c r="CX125" s="108">
        <f>AVERAGE(CX33:CY33)+AVERAGE(CX34:CY34)</f>
        <v>4340.9794999999995</v>
      </c>
      <c r="CY125" s="108">
        <f>AVERAGE(CY33:DB33)+AVERAGE(CY34:DB34)</f>
        <v>2094.3339999999998</v>
      </c>
      <c r="CZ125" s="108"/>
      <c r="DA125" s="108"/>
      <c r="DB125" s="108">
        <f>AVERAGE(DB33:DD33)+AVERAGE(DB34:DD34)</f>
        <v>10676.254999999999</v>
      </c>
      <c r="DC125" s="108"/>
      <c r="DD125" s="108">
        <f>AVERAGE(DD33:DE33)+AVERAGE(DD34:DE34)</f>
        <v>10251.887000000001</v>
      </c>
      <c r="DE125" s="108">
        <f>AVERAGE(DE33:DF33)+AVERAGE(DE34:DF34)</f>
        <v>9827.5190000000002</v>
      </c>
      <c r="DF125" s="108">
        <f>AVERAGE(DF33:DH33)+AVERAGE(DF34:DH34)</f>
        <v>92683.716</v>
      </c>
      <c r="DG125" s="108"/>
      <c r="DH125" s="108">
        <f>AVERAGE(DH33:DI33)+AVERAGE(DH34:DI34)</f>
        <v>78711.598499999993</v>
      </c>
      <c r="DI125" s="108">
        <f>AVERAGE(DI33:DM33)+AVERAGE(DI34:DM34)</f>
        <v>64739.481</v>
      </c>
      <c r="DJ125" s="108"/>
      <c r="DK125" s="108"/>
      <c r="DL125" s="108"/>
      <c r="DM125" s="108">
        <f>AVERAGE(DM33:DO33)+AVERAGE(DM34:DO34)</f>
        <v>271616</v>
      </c>
      <c r="DN125" s="108"/>
      <c r="DO125" s="108">
        <f>AVERAGE(DO33:DP33)+AVERAGE(DO34:DP34)</f>
        <v>234789.5</v>
      </c>
      <c r="DP125" s="108">
        <f>AVERAGE(DP33:DT33)+AVERAGE(DP34:DT34)</f>
        <v>197963</v>
      </c>
      <c r="DQ125" s="108"/>
      <c r="DR125" s="108"/>
      <c r="DS125" s="108"/>
      <c r="DT125" s="108">
        <f>AVERAGE(DT33:DV33)+AVERAGE(DT34:DV34)</f>
        <v>6060.018</v>
      </c>
      <c r="DU125" s="108"/>
      <c r="DV125" s="108">
        <f t="shared" ref="DV125:GE125" si="86">AVERAGE(DV33:DW33)+AVERAGE(DV34:DW34)</f>
        <v>5692.1610000000001</v>
      </c>
      <c r="DW125" s="108">
        <f t="shared" si="86"/>
        <v>5324.3040000000001</v>
      </c>
      <c r="DX125" s="108">
        <f>AVERAGE(DX33:DZ33)+AVERAGE(DX34:DZ34)</f>
        <v>645016</v>
      </c>
      <c r="DY125" s="108"/>
      <c r="DZ125" s="108">
        <f t="shared" si="86"/>
        <v>590582.5</v>
      </c>
      <c r="EA125" s="108">
        <f t="shared" si="86"/>
        <v>536149</v>
      </c>
      <c r="EB125" s="108">
        <f>AVERAGE(EB33:ED33)+AVERAGE(EB34:ED34)</f>
        <v>114613.084</v>
      </c>
      <c r="EC125" s="108"/>
      <c r="ED125" s="108">
        <f t="shared" si="86"/>
        <v>105448.376</v>
      </c>
      <c r="EE125" s="108">
        <f t="shared" si="86"/>
        <v>96283.668000000005</v>
      </c>
      <c r="EF125" s="108">
        <f>AVERAGE(EF33:EH33)+AVERAGE(EF34:EH34)</f>
        <v>5046.6849999999995</v>
      </c>
      <c r="EG125" s="108"/>
      <c r="EH125" s="108">
        <f t="shared" si="86"/>
        <v>4398.7794999999996</v>
      </c>
      <c r="EI125" s="108">
        <f t="shared" si="86"/>
        <v>3750.8739999999998</v>
      </c>
      <c r="EJ125" s="108">
        <f>AVERAGE(EJ33:EL33)+AVERAGE(EJ34:EL34)</f>
        <v>41016</v>
      </c>
      <c r="EK125" s="108"/>
      <c r="EL125" s="108">
        <f t="shared" si="86"/>
        <v>36417</v>
      </c>
      <c r="EM125" s="108">
        <f t="shared" si="86"/>
        <v>31818</v>
      </c>
      <c r="EN125" s="108">
        <f>AVERAGE(EN33:EP33)+AVERAGE(EN34:EP34)</f>
        <v>29293.992000000002</v>
      </c>
      <c r="EO125" s="108"/>
      <c r="EP125" s="108">
        <f t="shared" si="86"/>
        <v>26117.372500000005</v>
      </c>
      <c r="EQ125" s="108">
        <f t="shared" si="86"/>
        <v>22940.753000000001</v>
      </c>
      <c r="ER125" s="108">
        <f>AVERAGE(ER33:ET33)+AVERAGE(ER34:ET34)</f>
        <v>41510.032999999996</v>
      </c>
      <c r="ES125" s="108"/>
      <c r="ET125" s="108">
        <f t="shared" si="86"/>
        <v>35966.2935</v>
      </c>
      <c r="EU125" s="108">
        <f t="shared" si="86"/>
        <v>30422.553999999996</v>
      </c>
      <c r="EV125" s="108">
        <f>AVERAGE(EV33:EX33)+AVERAGE(EV34:EX34)</f>
        <v>456.80099999999999</v>
      </c>
      <c r="EW125" s="108"/>
      <c r="EX125" s="108">
        <f t="shared" si="86"/>
        <v>456.80099999999999</v>
      </c>
      <c r="EY125" s="108" t="e">
        <f t="shared" si="86"/>
        <v>#DIV/0!</v>
      </c>
      <c r="EZ125" s="108">
        <f>AVERAGE(EZ33:FB33)+AVERAGE(EZ34:FB34)</f>
        <v>1934.278</v>
      </c>
      <c r="FA125" s="108"/>
      <c r="FB125" s="108">
        <f t="shared" si="86"/>
        <v>1710.6615000000002</v>
      </c>
      <c r="FC125" s="108">
        <f t="shared" si="86"/>
        <v>1487.0450000000001</v>
      </c>
      <c r="FD125" s="108">
        <f>AVERAGE(FD33:FF33)+AVERAGE(FD34:FF34)</f>
        <v>222740</v>
      </c>
      <c r="FE125" s="108"/>
      <c r="FF125" s="108">
        <f t="shared" si="86"/>
        <v>220796</v>
      </c>
      <c r="FG125" s="108">
        <f t="shared" si="86"/>
        <v>218852</v>
      </c>
      <c r="FH125" s="108">
        <f>AVERAGE(FH33:FJ33)+AVERAGE(FH34:FJ34)</f>
        <v>28147.099000000002</v>
      </c>
      <c r="FI125" s="108"/>
      <c r="FJ125" s="108">
        <f t="shared" si="86"/>
        <v>22939.837</v>
      </c>
      <c r="FK125" s="108">
        <f t="shared" si="86"/>
        <v>17732.575000000001</v>
      </c>
      <c r="FL125" s="108">
        <f>AVERAGE(FL33:FN33)+AVERAGE(FL34:FN34)</f>
        <v>818387.17699999991</v>
      </c>
      <c r="FM125" s="108"/>
      <c r="FN125" s="108">
        <f t="shared" si="86"/>
        <v>767442.72549999994</v>
      </c>
      <c r="FO125" s="108">
        <f t="shared" si="86"/>
        <v>716498.27399999998</v>
      </c>
      <c r="FP125" s="108">
        <f>AVERAGE(FP33:FR33)+AVERAGE(FP34:FR34)</f>
        <v>20517.181</v>
      </c>
      <c r="FQ125" s="108"/>
      <c r="FR125" s="108">
        <f t="shared" si="86"/>
        <v>22597.707000000002</v>
      </c>
      <c r="FS125" s="108">
        <f t="shared" si="86"/>
        <v>24678.233</v>
      </c>
      <c r="FT125" s="108">
        <f>AVERAGE(FT33:FV33)+AVERAGE(FT34:FV34)</f>
        <v>4635.6059999999998</v>
      </c>
      <c r="FU125" s="108"/>
      <c r="FV125" s="108">
        <f t="shared" si="86"/>
        <v>4565.7510000000002</v>
      </c>
      <c r="FW125" s="108">
        <f t="shared" si="86"/>
        <v>4495.8960000000006</v>
      </c>
      <c r="FX125" s="108">
        <f>AVERAGE(FX33:FZ33)+AVERAGE(FX34:FZ34)</f>
        <v>113274</v>
      </c>
      <c r="FY125" s="108"/>
      <c r="FZ125" s="108">
        <f t="shared" si="86"/>
        <v>114332.5</v>
      </c>
      <c r="GA125" s="108">
        <f t="shared" si="86"/>
        <v>115391</v>
      </c>
      <c r="GB125" s="108">
        <f>AVERAGE(GB33:GD33)+AVERAGE(GB34:GD34)</f>
        <v>952.14599999999996</v>
      </c>
      <c r="GC125" s="108"/>
      <c r="GD125" s="108">
        <f t="shared" si="86"/>
        <v>899.1105</v>
      </c>
      <c r="GE125" s="108">
        <f t="shared" si="86"/>
        <v>846.07500000000005</v>
      </c>
      <c r="GF125" s="108">
        <f>AVERAGE(GF33:GH33)+AVERAGE(GF34:GH34)</f>
        <v>328222.60600000003</v>
      </c>
      <c r="GG125" s="108"/>
      <c r="GH125" s="108">
        <f t="shared" ref="GH125:GY125" si="87">AVERAGE(GH33:GI33)+AVERAGE(GH34:GI34)</f>
        <v>353352.98849999998</v>
      </c>
      <c r="GI125" s="108">
        <f t="shared" si="87"/>
        <v>378483.37099999998</v>
      </c>
      <c r="GJ125" s="108">
        <f>AVERAGE(GJ33:GL33)+AVERAGE(GJ34:GL34)</f>
        <v>25627.355</v>
      </c>
      <c r="GK125" s="108"/>
      <c r="GL125" s="108">
        <f t="shared" si="87"/>
        <v>14185.27</v>
      </c>
      <c r="GM125" s="108">
        <f t="shared" si="87"/>
        <v>2743.1850000000004</v>
      </c>
      <c r="GN125" s="108">
        <f>AVERAGE(GN33:GP33)+AVERAGE(GN34:GP34)</f>
        <v>1498651</v>
      </c>
      <c r="GO125" s="108"/>
      <c r="GP125" s="108">
        <f t="shared" si="87"/>
        <v>1308833.5</v>
      </c>
      <c r="GQ125" s="108">
        <f t="shared" si="87"/>
        <v>1119016</v>
      </c>
      <c r="GR125" s="108">
        <f>AVERAGE(GR33:GT33)+AVERAGE(GR34:GT34)</f>
        <v>120058</v>
      </c>
      <c r="GS125" s="108"/>
      <c r="GT125" s="108">
        <f t="shared" si="87"/>
        <v>120058</v>
      </c>
      <c r="GU125" s="108" t="e">
        <f t="shared" si="87"/>
        <v>#DIV/0!</v>
      </c>
      <c r="GV125" s="108">
        <f>AVERAGE(GV33:GX33)+AVERAGE(GV34:GX34)</f>
        <v>16101.895</v>
      </c>
      <c r="GW125" s="108"/>
      <c r="GX125" s="108">
        <f t="shared" si="87"/>
        <v>15256.2135</v>
      </c>
      <c r="GY125" s="108">
        <f t="shared" si="87"/>
        <v>14410.531999999999</v>
      </c>
      <c r="GZ125" s="108">
        <f>AVERAGE(GZ33:HB33)+AVERAGE(GZ34:HB34)</f>
        <v>213923.432</v>
      </c>
      <c r="HA125" s="108"/>
      <c r="HB125" s="108">
        <f t="shared" ref="HB125:HH125" si="88">AVERAGE(HB33:HC33)+AVERAGE(HB34:HC34)</f>
        <v>213923.432</v>
      </c>
      <c r="HC125" s="108" t="e">
        <f t="shared" si="88"/>
        <v>#DIV/0!</v>
      </c>
      <c r="HD125" s="108">
        <f>AVERAGE(HD33:HF33)+AVERAGE(HD34:HF34)</f>
        <v>454015.59100000001</v>
      </c>
      <c r="HE125" s="108"/>
      <c r="HF125" s="108">
        <f t="shared" si="88"/>
        <v>349987.1605</v>
      </c>
      <c r="HG125" s="108">
        <f t="shared" si="88"/>
        <v>245031.21950000001</v>
      </c>
      <c r="HH125" s="108">
        <f t="shared" si="88"/>
        <v>244103.709</v>
      </c>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176" customFormat="1" x14ac:dyDescent="0.2">
      <c r="A126" s="10"/>
      <c r="B126" s="175" t="s">
        <v>302</v>
      </c>
      <c r="C126" s="118"/>
      <c r="D126" s="118"/>
      <c r="E126" s="108">
        <f>SUM(E33:E34)</f>
        <v>191913.97899999999</v>
      </c>
      <c r="F126" s="108">
        <f>SUM(F33:F34)</f>
        <v>159655.68999999997</v>
      </c>
      <c r="G126" s="108">
        <f>SUM(G33:G34)</f>
        <v>136145.83900000001</v>
      </c>
      <c r="H126" s="108">
        <f>SUM(H33:H34)</f>
        <v>123732.6</v>
      </c>
      <c r="I126" s="108"/>
      <c r="J126" s="108">
        <f>SUM(J33:J34)</f>
        <v>0</v>
      </c>
      <c r="K126" s="108"/>
      <c r="L126" s="108">
        <f>SUM(L33:L34)</f>
        <v>355.90300000000002</v>
      </c>
      <c r="M126" s="108">
        <f>SUM(M33:M34)</f>
        <v>5464</v>
      </c>
      <c r="N126" s="108"/>
      <c r="O126" s="108"/>
      <c r="P126" s="108">
        <f>SUM(P33:P34)</f>
        <v>24806.665000000001</v>
      </c>
      <c r="Q126" s="108">
        <f>SUM(Q33:Q34)</f>
        <v>21511.545999999998</v>
      </c>
      <c r="R126" s="108">
        <f>SUM(R33:R34)</f>
        <v>21339.785</v>
      </c>
      <c r="S126" s="108">
        <f>SUM(S33:S34)</f>
        <v>21610.831000000002</v>
      </c>
      <c r="T126" s="108"/>
      <c r="U126" s="108"/>
      <c r="V126" s="108"/>
      <c r="W126" s="108">
        <f>SUM(W33:W34)</f>
        <v>26221.023000000001</v>
      </c>
      <c r="X126" s="108">
        <f>SUM(X33:X34)</f>
        <v>21436.879999999997</v>
      </c>
      <c r="Y126" s="108">
        <f>SUM(Y33:Y34)</f>
        <v>19010.589</v>
      </c>
      <c r="Z126" s="108">
        <f>SUM(Z33:Z34)</f>
        <v>17041.814999999999</v>
      </c>
      <c r="AA126" s="108"/>
      <c r="AB126" s="108"/>
      <c r="AC126" s="108"/>
      <c r="AD126" s="108">
        <f>SUM(AD33:AD34)</f>
        <v>10256.064</v>
      </c>
      <c r="AE126" s="108">
        <f>SUM(AE33:AE34)</f>
        <v>10592.867</v>
      </c>
      <c r="AF126" s="108"/>
      <c r="AG126" s="108"/>
      <c r="AH126" s="108">
        <f>SUM(AH33:AH34)</f>
        <v>33689.807000000001</v>
      </c>
      <c r="AI126" s="108">
        <f>SUM(AI33:AI34)</f>
        <v>7428.9</v>
      </c>
      <c r="AJ126" s="108"/>
      <c r="AK126" s="108"/>
      <c r="AL126" s="108">
        <f>SUM(AL33:AL34)</f>
        <v>4371.9669999999996</v>
      </c>
      <c r="AM126" s="108">
        <f>SUM(AM33:AM34)</f>
        <v>3008.3869999999997</v>
      </c>
      <c r="AN126" s="108"/>
      <c r="AO126" s="108"/>
      <c r="AP126" s="108"/>
      <c r="AQ126" s="108"/>
      <c r="AR126" s="108">
        <f>SUM(AR33:AR34)</f>
        <v>10834.931</v>
      </c>
      <c r="AS126" s="108">
        <f>SUM(AS33:AS34)</f>
        <v>7633.53</v>
      </c>
      <c r="AT126" s="108">
        <f>SUM(AT33:AT34)</f>
        <v>6403.1990000000005</v>
      </c>
      <c r="AU126" s="108">
        <f>SUM(AU33:AU34)</f>
        <v>3971.7179999999998</v>
      </c>
      <c r="AV126" s="108"/>
      <c r="AW126" s="108">
        <f>SUM(AW33:AW34)</f>
        <v>0</v>
      </c>
      <c r="AX126" s="108"/>
      <c r="AY126" s="108">
        <f>SUM(AY33:AY34)</f>
        <v>547207</v>
      </c>
      <c r="AZ126" s="108">
        <f>SUM(AZ33:AZ34)</f>
        <v>547207</v>
      </c>
      <c r="BA126" s="108">
        <f>SUM(BA33:BA34)</f>
        <v>0</v>
      </c>
      <c r="BB126" s="108"/>
      <c r="BC126" s="108">
        <f>SUM(BC33:BC34)</f>
        <v>0</v>
      </c>
      <c r="BD126" s="108"/>
      <c r="BE126" s="108"/>
      <c r="BF126" s="108"/>
      <c r="BG126" s="108">
        <f>SUM(BG33:BG34)</f>
        <v>437191</v>
      </c>
      <c r="BH126" s="108">
        <f>SUM(BH33:BH34)</f>
        <v>435250</v>
      </c>
      <c r="BI126" s="108">
        <f>SUM(BI33:BI34)</f>
        <v>341720</v>
      </c>
      <c r="BJ126" s="108">
        <f>SUM(BJ33:BJ34)</f>
        <v>9177</v>
      </c>
      <c r="BK126" s="108"/>
      <c r="BL126" s="108">
        <f>SUM(BL33:BL34)</f>
        <v>0</v>
      </c>
      <c r="BM126" s="108"/>
      <c r="BN126" s="108">
        <f>SUM(BN33:BN34)</f>
        <v>18039.670999999998</v>
      </c>
      <c r="BO126" s="108">
        <f>SUM(BO33:BO34)</f>
        <v>15074.191000000001</v>
      </c>
      <c r="BP126" s="108">
        <f>SUM(BP33:BP34)</f>
        <v>1803.0680000000002</v>
      </c>
      <c r="BQ126" s="108">
        <f>SUM(BQ33:BQ34)</f>
        <v>0</v>
      </c>
      <c r="BR126" s="108"/>
      <c r="BS126" s="108">
        <f t="shared" ref="BS126:BZ126" si="89">SUM(BS33:BS34)</f>
        <v>0</v>
      </c>
      <c r="BT126" s="108"/>
      <c r="BU126" s="108">
        <f t="shared" si="89"/>
        <v>4140.2139999999999</v>
      </c>
      <c r="BV126" s="108">
        <f t="shared" si="89"/>
        <v>3392.752</v>
      </c>
      <c r="BW126" s="108">
        <f t="shared" si="89"/>
        <v>0</v>
      </c>
      <c r="BX126" s="108"/>
      <c r="BY126" s="108">
        <f t="shared" si="89"/>
        <v>39424</v>
      </c>
      <c r="BZ126" s="108">
        <f t="shared" si="89"/>
        <v>38339</v>
      </c>
      <c r="CA126" s="108"/>
      <c r="CB126" s="108"/>
      <c r="CC126" s="108">
        <f>SUM(CC33:CC34)</f>
        <v>119269.70499999999</v>
      </c>
      <c r="CD126" s="108">
        <f>SUM(CD33:CD34)</f>
        <v>34455.713596000001</v>
      </c>
      <c r="CE126" s="108">
        <f>SUM(CE33:CE34)</f>
        <v>14904.299000000001</v>
      </c>
      <c r="CF126" s="108"/>
      <c r="CG126" s="108">
        <f t="shared" ref="CG126:CN126" si="90">SUM(CG33:CG34)</f>
        <v>0</v>
      </c>
      <c r="CH126" s="108"/>
      <c r="CI126" s="108">
        <f t="shared" si="90"/>
        <v>10790</v>
      </c>
      <c r="CJ126" s="108">
        <f t="shared" si="90"/>
        <v>13427</v>
      </c>
      <c r="CK126" s="108">
        <f t="shared" si="90"/>
        <v>0</v>
      </c>
      <c r="CL126" s="108"/>
      <c r="CM126" s="108">
        <f t="shared" si="90"/>
        <v>4469.0610000000006</v>
      </c>
      <c r="CN126" s="108">
        <f t="shared" si="90"/>
        <v>4617.7489999999998</v>
      </c>
      <c r="CO126" s="108"/>
      <c r="CP126" s="108"/>
      <c r="CQ126" s="108"/>
      <c r="CR126" s="108">
        <f t="shared" ref="CR126:CY126" si="91">SUM(CR33:CR34)</f>
        <v>0</v>
      </c>
      <c r="CS126" s="108"/>
      <c r="CT126" s="108">
        <f t="shared" si="91"/>
        <v>2758.6750000000002</v>
      </c>
      <c r="CU126" s="108">
        <f t="shared" si="91"/>
        <v>3457.7640000000001</v>
      </c>
      <c r="CV126" s="108">
        <f t="shared" si="91"/>
        <v>0</v>
      </c>
      <c r="CW126" s="108"/>
      <c r="CX126" s="108">
        <f t="shared" si="91"/>
        <v>6587.625</v>
      </c>
      <c r="CY126" s="108">
        <f t="shared" si="91"/>
        <v>2094.3339999999998</v>
      </c>
      <c r="CZ126" s="108"/>
      <c r="DA126" s="108"/>
      <c r="DB126" s="108">
        <f t="shared" ref="DB126:DI126" si="92">SUM(DB33:DB34)</f>
        <v>0</v>
      </c>
      <c r="DC126" s="108"/>
      <c r="DD126" s="108">
        <f t="shared" si="92"/>
        <v>10676.254999999999</v>
      </c>
      <c r="DE126" s="108">
        <f t="shared" si="92"/>
        <v>9827.5190000000002</v>
      </c>
      <c r="DF126" s="108">
        <f t="shared" si="92"/>
        <v>0</v>
      </c>
      <c r="DG126" s="108"/>
      <c r="DH126" s="108">
        <f t="shared" si="92"/>
        <v>92683.716</v>
      </c>
      <c r="DI126" s="108">
        <f t="shared" si="92"/>
        <v>64739.481</v>
      </c>
      <c r="DJ126" s="108"/>
      <c r="DK126" s="108"/>
      <c r="DL126" s="108"/>
      <c r="DM126" s="108">
        <f>SUM(DM33:DM34)</f>
        <v>0</v>
      </c>
      <c r="DN126" s="108"/>
      <c r="DO126" s="108">
        <f>SUM(DO33:DO34)</f>
        <v>271616</v>
      </c>
      <c r="DP126" s="108">
        <f>SUM(DP33:DP34)</f>
        <v>197963</v>
      </c>
      <c r="DQ126" s="108"/>
      <c r="DR126" s="108"/>
      <c r="DS126" s="108"/>
      <c r="DT126" s="108">
        <f t="shared" ref="DT126:GE126" si="93">SUM(DT33:DT34)</f>
        <v>0</v>
      </c>
      <c r="DU126" s="108"/>
      <c r="DV126" s="108">
        <f t="shared" si="93"/>
        <v>6060.018</v>
      </c>
      <c r="DW126" s="108">
        <f t="shared" si="93"/>
        <v>5324.3040000000001</v>
      </c>
      <c r="DX126" s="108">
        <f t="shared" si="93"/>
        <v>0</v>
      </c>
      <c r="DY126" s="108"/>
      <c r="DZ126" s="108">
        <f t="shared" si="93"/>
        <v>645016</v>
      </c>
      <c r="EA126" s="108">
        <f t="shared" si="93"/>
        <v>536149</v>
      </c>
      <c r="EB126" s="108">
        <f t="shared" si="93"/>
        <v>0</v>
      </c>
      <c r="EC126" s="108"/>
      <c r="ED126" s="108">
        <f t="shared" si="93"/>
        <v>114613.084</v>
      </c>
      <c r="EE126" s="108">
        <f t="shared" si="93"/>
        <v>96283.668000000005</v>
      </c>
      <c r="EF126" s="108">
        <f t="shared" si="93"/>
        <v>0</v>
      </c>
      <c r="EG126" s="108"/>
      <c r="EH126" s="108">
        <f t="shared" si="93"/>
        <v>5046.6849999999995</v>
      </c>
      <c r="EI126" s="108">
        <f t="shared" si="93"/>
        <v>3750.8739999999998</v>
      </c>
      <c r="EJ126" s="108">
        <f t="shared" si="93"/>
        <v>0</v>
      </c>
      <c r="EK126" s="108"/>
      <c r="EL126" s="108">
        <f t="shared" si="93"/>
        <v>41016</v>
      </c>
      <c r="EM126" s="108">
        <f t="shared" si="93"/>
        <v>31818</v>
      </c>
      <c r="EN126" s="108">
        <f t="shared" si="93"/>
        <v>0</v>
      </c>
      <c r="EO126" s="108"/>
      <c r="EP126" s="108">
        <f t="shared" si="93"/>
        <v>29293.992000000002</v>
      </c>
      <c r="EQ126" s="108">
        <f t="shared" si="93"/>
        <v>22940.753000000001</v>
      </c>
      <c r="ER126" s="108">
        <f t="shared" si="93"/>
        <v>0</v>
      </c>
      <c r="ES126" s="108"/>
      <c r="ET126" s="108">
        <f t="shared" si="93"/>
        <v>41510.032999999996</v>
      </c>
      <c r="EU126" s="108">
        <f t="shared" si="93"/>
        <v>30422.553999999996</v>
      </c>
      <c r="EV126" s="108">
        <f t="shared" si="93"/>
        <v>0</v>
      </c>
      <c r="EW126" s="108"/>
      <c r="EX126" s="108">
        <f t="shared" si="93"/>
        <v>456.80099999999999</v>
      </c>
      <c r="EY126" s="108">
        <f t="shared" si="93"/>
        <v>0</v>
      </c>
      <c r="EZ126" s="108">
        <f t="shared" si="93"/>
        <v>0</v>
      </c>
      <c r="FA126" s="108"/>
      <c r="FB126" s="108">
        <f t="shared" si="93"/>
        <v>1934.278</v>
      </c>
      <c r="FC126" s="108">
        <f t="shared" si="93"/>
        <v>1487.0450000000001</v>
      </c>
      <c r="FD126" s="108">
        <f t="shared" si="93"/>
        <v>0</v>
      </c>
      <c r="FE126" s="108"/>
      <c r="FF126" s="108">
        <f t="shared" si="93"/>
        <v>222740</v>
      </c>
      <c r="FG126" s="108">
        <f t="shared" si="93"/>
        <v>218852</v>
      </c>
      <c r="FH126" s="108">
        <f t="shared" si="93"/>
        <v>0</v>
      </c>
      <c r="FI126" s="108"/>
      <c r="FJ126" s="108">
        <f t="shared" si="93"/>
        <v>28147.099000000002</v>
      </c>
      <c r="FK126" s="108">
        <f t="shared" si="93"/>
        <v>17732.575000000001</v>
      </c>
      <c r="FL126" s="108">
        <f t="shared" si="93"/>
        <v>0</v>
      </c>
      <c r="FM126" s="108"/>
      <c r="FN126" s="108">
        <f t="shared" si="93"/>
        <v>818387.17699999991</v>
      </c>
      <c r="FO126" s="108">
        <f t="shared" si="93"/>
        <v>716498.27399999998</v>
      </c>
      <c r="FP126" s="108">
        <f t="shared" si="93"/>
        <v>0</v>
      </c>
      <c r="FQ126" s="108"/>
      <c r="FR126" s="108">
        <f t="shared" si="93"/>
        <v>20517.181</v>
      </c>
      <c r="FS126" s="108">
        <f t="shared" si="93"/>
        <v>24678.233</v>
      </c>
      <c r="FT126" s="108">
        <f t="shared" si="93"/>
        <v>0</v>
      </c>
      <c r="FU126" s="108"/>
      <c r="FV126" s="108">
        <f t="shared" si="93"/>
        <v>4635.6059999999998</v>
      </c>
      <c r="FW126" s="108">
        <f t="shared" si="93"/>
        <v>4495.8960000000006</v>
      </c>
      <c r="FX126" s="108">
        <f t="shared" si="93"/>
        <v>0</v>
      </c>
      <c r="FY126" s="108"/>
      <c r="FZ126" s="108">
        <f t="shared" si="93"/>
        <v>113274</v>
      </c>
      <c r="GA126" s="108">
        <f t="shared" si="93"/>
        <v>115391</v>
      </c>
      <c r="GB126" s="108">
        <f t="shared" si="93"/>
        <v>0</v>
      </c>
      <c r="GC126" s="108"/>
      <c r="GD126" s="108">
        <f t="shared" si="93"/>
        <v>952.14599999999996</v>
      </c>
      <c r="GE126" s="108">
        <f t="shared" si="93"/>
        <v>846.07500000000005</v>
      </c>
      <c r="GF126" s="108">
        <f t="shared" ref="GF126:GZ126" si="94">SUM(GF33:GF34)</f>
        <v>0</v>
      </c>
      <c r="GG126" s="108"/>
      <c r="GH126" s="108">
        <f t="shared" si="94"/>
        <v>328222.60600000003</v>
      </c>
      <c r="GI126" s="108">
        <f t="shared" si="94"/>
        <v>378483.37099999998</v>
      </c>
      <c r="GJ126" s="108">
        <f t="shared" si="94"/>
        <v>0</v>
      </c>
      <c r="GK126" s="108"/>
      <c r="GL126" s="108">
        <f t="shared" si="94"/>
        <v>25627.355</v>
      </c>
      <c r="GM126" s="108">
        <f t="shared" si="94"/>
        <v>2743.1850000000004</v>
      </c>
      <c r="GN126" s="108">
        <f t="shared" si="94"/>
        <v>0</v>
      </c>
      <c r="GO126" s="108"/>
      <c r="GP126" s="108">
        <f t="shared" si="94"/>
        <v>1498651</v>
      </c>
      <c r="GQ126" s="108">
        <f t="shared" si="94"/>
        <v>1119016</v>
      </c>
      <c r="GR126" s="108">
        <f t="shared" si="94"/>
        <v>0</v>
      </c>
      <c r="GS126" s="108"/>
      <c r="GT126" s="108">
        <f t="shared" si="94"/>
        <v>120058</v>
      </c>
      <c r="GU126" s="108">
        <f t="shared" si="94"/>
        <v>0</v>
      </c>
      <c r="GV126" s="108">
        <f t="shared" si="94"/>
        <v>0</v>
      </c>
      <c r="GW126" s="108"/>
      <c r="GX126" s="108">
        <f t="shared" si="94"/>
        <v>16101.895</v>
      </c>
      <c r="GY126" s="108">
        <f t="shared" si="94"/>
        <v>14410.531999999999</v>
      </c>
      <c r="GZ126" s="108">
        <f t="shared" si="94"/>
        <v>0</v>
      </c>
      <c r="HA126" s="108"/>
      <c r="HB126" s="108">
        <f>SUM(HB33:HB34)</f>
        <v>213923.432</v>
      </c>
      <c r="HC126" s="108">
        <f>SUM(HC33:HC34)</f>
        <v>0</v>
      </c>
      <c r="HD126" s="108">
        <f>SUM(HD33:HD34)</f>
        <v>0</v>
      </c>
      <c r="HE126" s="108"/>
      <c r="HF126" s="108">
        <f>SUM(HF33:HF34)</f>
        <v>454015.59100000001</v>
      </c>
      <c r="HG126" s="108">
        <f>SUM(HG33:HG34)</f>
        <v>245958.73</v>
      </c>
      <c r="HH126" s="108">
        <f>SUM(HH33:HH34)</f>
        <v>244103.709</v>
      </c>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85" customFormat="1" ht="14.25" customHeight="1" x14ac:dyDescent="0.2">
      <c r="B127" s="175" t="s">
        <v>303</v>
      </c>
      <c r="C127" s="125"/>
      <c r="D127" s="126"/>
      <c r="E127" s="164">
        <f t="shared" ref="E127:H128" si="95">E45</f>
        <v>525</v>
      </c>
      <c r="F127" s="164">
        <f t="shared" si="95"/>
        <v>400</v>
      </c>
      <c r="G127" s="164">
        <f t="shared" si="95"/>
        <v>200</v>
      </c>
      <c r="H127" s="164">
        <f t="shared" si="95"/>
        <v>0</v>
      </c>
      <c r="I127" s="164"/>
      <c r="J127" s="164">
        <f t="shared" ref="J127:M128" si="96">J45</f>
        <v>0</v>
      </c>
      <c r="K127" s="164"/>
      <c r="L127" s="164">
        <f t="shared" si="96"/>
        <v>0</v>
      </c>
      <c r="M127" s="164">
        <f t="shared" si="96"/>
        <v>0</v>
      </c>
      <c r="N127" s="164"/>
      <c r="O127" s="164"/>
      <c r="P127" s="164">
        <f t="shared" ref="P127:S128" si="97">P45</f>
        <v>210.46</v>
      </c>
      <c r="Q127" s="164">
        <f t="shared" si="97"/>
        <v>108.858</v>
      </c>
      <c r="R127" s="164">
        <f t="shared" si="97"/>
        <v>88.933999999999997</v>
      </c>
      <c r="S127" s="164">
        <f t="shared" si="97"/>
        <v>112.61799999999999</v>
      </c>
      <c r="T127" s="164"/>
      <c r="U127" s="164"/>
      <c r="V127" s="164"/>
      <c r="W127" s="164">
        <f t="shared" ref="W127:Z128" si="98">W45</f>
        <v>0</v>
      </c>
      <c r="X127" s="164">
        <f t="shared" si="98"/>
        <v>0</v>
      </c>
      <c r="Y127" s="164">
        <f t="shared" si="98"/>
        <v>0</v>
      </c>
      <c r="Z127" s="164">
        <f t="shared" si="98"/>
        <v>0</v>
      </c>
      <c r="AA127" s="164"/>
      <c r="AB127" s="164"/>
      <c r="AC127" s="164"/>
      <c r="AD127" s="164">
        <f>AD45</f>
        <v>280</v>
      </c>
      <c r="AE127" s="164">
        <f>AE45</f>
        <v>235</v>
      </c>
      <c r="AF127" s="164"/>
      <c r="AG127" s="164"/>
      <c r="AH127" s="164">
        <f>AH45</f>
        <v>0</v>
      </c>
      <c r="AI127" s="164">
        <f>AI45</f>
        <v>0</v>
      </c>
      <c r="AJ127" s="164"/>
      <c r="AK127" s="164"/>
      <c r="AL127" s="164">
        <f>AL45</f>
        <v>0</v>
      </c>
      <c r="AM127" s="164">
        <f>AM45</f>
        <v>0</v>
      </c>
      <c r="AN127" s="164"/>
      <c r="AO127" s="164"/>
      <c r="AP127" s="164"/>
      <c r="AQ127" s="164"/>
      <c r="AR127" s="164">
        <f t="shared" ref="AR127:AU128" si="99">AR45</f>
        <v>0</v>
      </c>
      <c r="AS127" s="164">
        <f t="shared" si="99"/>
        <v>0</v>
      </c>
      <c r="AT127" s="164">
        <f t="shared" si="99"/>
        <v>0</v>
      </c>
      <c r="AU127" s="164">
        <f t="shared" si="99"/>
        <v>0</v>
      </c>
      <c r="AV127" s="164"/>
      <c r="AW127" s="164">
        <f t="shared" ref="AW127:BC128" si="100">AW45</f>
        <v>0</v>
      </c>
      <c r="AX127" s="164"/>
      <c r="AY127" s="164">
        <f t="shared" si="100"/>
        <v>0</v>
      </c>
      <c r="AZ127" s="164">
        <f t="shared" si="100"/>
        <v>0</v>
      </c>
      <c r="BA127" s="164">
        <f t="shared" si="100"/>
        <v>0</v>
      </c>
      <c r="BB127" s="164"/>
      <c r="BC127" s="164">
        <f t="shared" si="100"/>
        <v>0</v>
      </c>
      <c r="BD127" s="164"/>
      <c r="BE127" s="164"/>
      <c r="BF127" s="164"/>
      <c r="BG127" s="164">
        <f t="shared" ref="BG127:BJ128" si="101">BG45</f>
        <v>4237</v>
      </c>
      <c r="BH127" s="164">
        <f t="shared" si="101"/>
        <v>2696</v>
      </c>
      <c r="BI127" s="164">
        <f t="shared" si="101"/>
        <v>1453</v>
      </c>
      <c r="BJ127" s="164">
        <f t="shared" si="101"/>
        <v>545</v>
      </c>
      <c r="BK127" s="164"/>
      <c r="BL127" s="164">
        <f t="shared" ref="BL127:BQ128" si="102">BL45</f>
        <v>0</v>
      </c>
      <c r="BM127" s="164"/>
      <c r="BN127" s="164">
        <f t="shared" si="102"/>
        <v>0</v>
      </c>
      <c r="BO127" s="164">
        <f t="shared" si="102"/>
        <v>0</v>
      </c>
      <c r="BP127" s="164">
        <f t="shared" si="102"/>
        <v>0</v>
      </c>
      <c r="BQ127" s="164">
        <f t="shared" si="102"/>
        <v>0</v>
      </c>
      <c r="BR127" s="164"/>
      <c r="BS127" s="164">
        <f t="shared" ref="BS127:BZ128" si="103">BS45</f>
        <v>0</v>
      </c>
      <c r="BT127" s="164"/>
      <c r="BU127" s="164">
        <f t="shared" si="103"/>
        <v>0</v>
      </c>
      <c r="BV127" s="164">
        <f t="shared" si="103"/>
        <v>0</v>
      </c>
      <c r="BW127" s="164">
        <f t="shared" si="103"/>
        <v>0</v>
      </c>
      <c r="BX127" s="164"/>
      <c r="BY127" s="164">
        <f t="shared" si="103"/>
        <v>0</v>
      </c>
      <c r="BZ127" s="164">
        <f t="shared" si="103"/>
        <v>0</v>
      </c>
      <c r="CA127" s="164"/>
      <c r="CB127" s="164"/>
      <c r="CC127" s="164">
        <f t="shared" ref="CC127:CE128" si="104">CC45</f>
        <v>0</v>
      </c>
      <c r="CD127" s="164">
        <f t="shared" si="104"/>
        <v>0</v>
      </c>
      <c r="CE127" s="164">
        <f t="shared" si="104"/>
        <v>0</v>
      </c>
      <c r="CF127" s="164"/>
      <c r="CG127" s="164">
        <f t="shared" ref="CG127:CN128" si="105">CG45</f>
        <v>0</v>
      </c>
      <c r="CH127" s="164"/>
      <c r="CI127" s="164">
        <f t="shared" si="105"/>
        <v>277</v>
      </c>
      <c r="CJ127" s="164">
        <f t="shared" si="105"/>
        <v>903</v>
      </c>
      <c r="CK127" s="164">
        <f t="shared" si="105"/>
        <v>0</v>
      </c>
      <c r="CL127" s="164"/>
      <c r="CM127" s="164">
        <f t="shared" si="105"/>
        <v>265.98</v>
      </c>
      <c r="CN127" s="164">
        <f t="shared" si="105"/>
        <v>223.80500000000001</v>
      </c>
      <c r="CO127" s="164"/>
      <c r="CP127" s="164"/>
      <c r="CQ127" s="164"/>
      <c r="CR127" s="164">
        <f t="shared" ref="CR127:CY128" si="106">CR45</f>
        <v>0</v>
      </c>
      <c r="CS127" s="164"/>
      <c r="CT127" s="164">
        <f t="shared" si="106"/>
        <v>80.965000000000003</v>
      </c>
      <c r="CU127" s="164">
        <f t="shared" si="106"/>
        <v>99.593999999999994</v>
      </c>
      <c r="CV127" s="164">
        <f t="shared" si="106"/>
        <v>0</v>
      </c>
      <c r="CW127" s="164"/>
      <c r="CX127" s="164">
        <f t="shared" si="106"/>
        <v>0</v>
      </c>
      <c r="CY127" s="164">
        <f t="shared" si="106"/>
        <v>0</v>
      </c>
      <c r="CZ127" s="164"/>
      <c r="DA127" s="164"/>
      <c r="DB127" s="164">
        <f t="shared" ref="DB127:DI128" si="107">DB45</f>
        <v>0</v>
      </c>
      <c r="DC127" s="164"/>
      <c r="DD127" s="164">
        <f t="shared" si="107"/>
        <v>0</v>
      </c>
      <c r="DE127" s="164">
        <f t="shared" si="107"/>
        <v>0</v>
      </c>
      <c r="DF127" s="164">
        <f t="shared" si="107"/>
        <v>0</v>
      </c>
      <c r="DG127" s="164"/>
      <c r="DH127" s="164">
        <f t="shared" si="107"/>
        <v>844.19899999999996</v>
      </c>
      <c r="DI127" s="164">
        <f t="shared" si="107"/>
        <v>675.98199999999997</v>
      </c>
      <c r="DJ127" s="164"/>
      <c r="DK127" s="164"/>
      <c r="DL127" s="164"/>
      <c r="DM127" s="164">
        <f t="shared" ref="DM127:DP128" si="108">DM45</f>
        <v>0</v>
      </c>
      <c r="DN127" s="164"/>
      <c r="DO127" s="164">
        <f t="shared" si="108"/>
        <v>3187</v>
      </c>
      <c r="DP127" s="164">
        <f t="shared" si="108"/>
        <v>2910</v>
      </c>
      <c r="DQ127" s="164"/>
      <c r="DR127" s="164"/>
      <c r="DS127" s="164"/>
      <c r="DT127" s="164">
        <f t="shared" ref="DT127:GE128" si="109">DT45</f>
        <v>0</v>
      </c>
      <c r="DU127" s="164"/>
      <c r="DV127" s="164">
        <f t="shared" si="109"/>
        <v>0</v>
      </c>
      <c r="DW127" s="164">
        <f t="shared" si="109"/>
        <v>0</v>
      </c>
      <c r="DX127" s="164">
        <f t="shared" si="109"/>
        <v>0</v>
      </c>
      <c r="DY127" s="164"/>
      <c r="DZ127" s="164">
        <f t="shared" si="109"/>
        <v>4747</v>
      </c>
      <c r="EA127" s="164">
        <f t="shared" si="109"/>
        <v>4243</v>
      </c>
      <c r="EB127" s="164">
        <f t="shared" si="109"/>
        <v>0</v>
      </c>
      <c r="EC127" s="164"/>
      <c r="ED127" s="164">
        <f t="shared" si="109"/>
        <v>0</v>
      </c>
      <c r="EE127" s="164">
        <f t="shared" si="109"/>
        <v>0</v>
      </c>
      <c r="EF127" s="164">
        <f t="shared" si="109"/>
        <v>0</v>
      </c>
      <c r="EG127" s="164"/>
      <c r="EH127" s="164">
        <f t="shared" si="109"/>
        <v>84</v>
      </c>
      <c r="EI127" s="164">
        <f t="shared" si="109"/>
        <v>36</v>
      </c>
      <c r="EJ127" s="164">
        <f t="shared" si="109"/>
        <v>0</v>
      </c>
      <c r="EK127" s="164"/>
      <c r="EL127" s="164">
        <f t="shared" si="109"/>
        <v>1648</v>
      </c>
      <c r="EM127" s="164">
        <f t="shared" si="109"/>
        <v>725</v>
      </c>
      <c r="EN127" s="164">
        <f t="shared" si="109"/>
        <v>0</v>
      </c>
      <c r="EO127" s="164"/>
      <c r="EP127" s="164">
        <f t="shared" si="109"/>
        <v>0</v>
      </c>
      <c r="EQ127" s="164">
        <f t="shared" si="109"/>
        <v>0</v>
      </c>
      <c r="ER127" s="164">
        <f t="shared" si="109"/>
        <v>0</v>
      </c>
      <c r="ES127" s="164"/>
      <c r="ET127" s="164">
        <f t="shared" si="109"/>
        <v>653.70299999999997</v>
      </c>
      <c r="EU127" s="164">
        <f t="shared" si="109"/>
        <v>552.26199999999994</v>
      </c>
      <c r="EV127" s="164">
        <f t="shared" si="109"/>
        <v>0</v>
      </c>
      <c r="EW127" s="164"/>
      <c r="EX127" s="164">
        <f t="shared" si="109"/>
        <v>525.69299999999998</v>
      </c>
      <c r="EY127" s="164">
        <f t="shared" si="109"/>
        <v>1293.0229999999999</v>
      </c>
      <c r="EZ127" s="164">
        <f t="shared" si="109"/>
        <v>0</v>
      </c>
      <c r="FA127" s="164"/>
      <c r="FB127" s="164">
        <f t="shared" si="109"/>
        <v>0</v>
      </c>
      <c r="FC127" s="164">
        <f t="shared" si="109"/>
        <v>0</v>
      </c>
      <c r="FD127" s="164">
        <f t="shared" si="109"/>
        <v>0</v>
      </c>
      <c r="FE127" s="164"/>
      <c r="FF127" s="164">
        <f t="shared" si="109"/>
        <v>1975</v>
      </c>
      <c r="FG127" s="164">
        <f t="shared" si="109"/>
        <v>3844</v>
      </c>
      <c r="FH127" s="164">
        <f t="shared" si="109"/>
        <v>0</v>
      </c>
      <c r="FI127" s="164"/>
      <c r="FJ127" s="164">
        <f t="shared" si="109"/>
        <v>0</v>
      </c>
      <c r="FK127" s="164">
        <f t="shared" si="109"/>
        <v>0</v>
      </c>
      <c r="FL127" s="164">
        <f t="shared" si="109"/>
        <v>0</v>
      </c>
      <c r="FM127" s="164"/>
      <c r="FN127" s="164">
        <f t="shared" si="109"/>
        <v>0</v>
      </c>
      <c r="FO127" s="164">
        <f t="shared" si="109"/>
        <v>0</v>
      </c>
      <c r="FP127" s="164">
        <f t="shared" si="109"/>
        <v>0</v>
      </c>
      <c r="FQ127" s="164"/>
      <c r="FR127" s="164">
        <f t="shared" si="109"/>
        <v>891.41300000000001</v>
      </c>
      <c r="FS127" s="164">
        <f t="shared" si="109"/>
        <v>57.472999999999999</v>
      </c>
      <c r="FT127" s="164">
        <f t="shared" si="109"/>
        <v>0</v>
      </c>
      <c r="FU127" s="164"/>
      <c r="FV127" s="164">
        <f t="shared" si="109"/>
        <v>0</v>
      </c>
      <c r="FW127" s="164">
        <f t="shared" si="109"/>
        <v>0</v>
      </c>
      <c r="FX127" s="164">
        <f t="shared" si="109"/>
        <v>0</v>
      </c>
      <c r="FY127" s="164"/>
      <c r="FZ127" s="164">
        <f t="shared" si="109"/>
        <v>0</v>
      </c>
      <c r="GA127" s="164">
        <f t="shared" si="109"/>
        <v>0</v>
      </c>
      <c r="GB127" s="164">
        <f t="shared" si="109"/>
        <v>0</v>
      </c>
      <c r="GC127" s="164"/>
      <c r="GD127" s="164">
        <f t="shared" si="109"/>
        <v>0</v>
      </c>
      <c r="GE127" s="164">
        <f t="shared" si="109"/>
        <v>0</v>
      </c>
      <c r="GF127" s="164">
        <f t="shared" ref="GF127:GZ128" si="110">GF45</f>
        <v>0</v>
      </c>
      <c r="GG127" s="164"/>
      <c r="GH127" s="164">
        <f t="shared" si="110"/>
        <v>0</v>
      </c>
      <c r="GI127" s="164">
        <f t="shared" si="110"/>
        <v>0</v>
      </c>
      <c r="GJ127" s="164">
        <f t="shared" si="110"/>
        <v>0</v>
      </c>
      <c r="GK127" s="164"/>
      <c r="GL127" s="164">
        <f t="shared" si="110"/>
        <v>208.059</v>
      </c>
      <c r="GM127" s="164">
        <f t="shared" si="110"/>
        <v>28.195</v>
      </c>
      <c r="GN127" s="164">
        <f t="shared" si="110"/>
        <v>0</v>
      </c>
      <c r="GO127" s="164"/>
      <c r="GP127" s="164">
        <f t="shared" si="110"/>
        <v>38195</v>
      </c>
      <c r="GQ127" s="164">
        <f t="shared" si="110"/>
        <v>26034</v>
      </c>
      <c r="GR127" s="164">
        <f t="shared" si="110"/>
        <v>0</v>
      </c>
      <c r="GS127" s="164"/>
      <c r="GT127" s="164">
        <f t="shared" si="110"/>
        <v>0</v>
      </c>
      <c r="GU127" s="164">
        <f t="shared" si="110"/>
        <v>0</v>
      </c>
      <c r="GV127" s="164">
        <f t="shared" si="110"/>
        <v>0</v>
      </c>
      <c r="GW127" s="164"/>
      <c r="GX127" s="164">
        <f t="shared" si="110"/>
        <v>335.55500000000001</v>
      </c>
      <c r="GY127" s="164">
        <f t="shared" si="110"/>
        <v>176.34200000000001</v>
      </c>
      <c r="GZ127" s="164">
        <f t="shared" si="110"/>
        <v>0</v>
      </c>
      <c r="HA127" s="164"/>
      <c r="HB127" s="164">
        <f t="shared" ref="HB127:HD128" si="111">HB45</f>
        <v>0</v>
      </c>
      <c r="HC127" s="164">
        <f t="shared" si="111"/>
        <v>0</v>
      </c>
      <c r="HD127" s="164">
        <f t="shared" si="111"/>
        <v>0</v>
      </c>
      <c r="HE127" s="164"/>
      <c r="HF127" s="164">
        <f t="shared" ref="HF127:HH128" si="112">HF45</f>
        <v>0</v>
      </c>
      <c r="HG127" s="164">
        <f t="shared" si="112"/>
        <v>0</v>
      </c>
      <c r="HH127" s="164">
        <f t="shared" si="112"/>
        <v>145</v>
      </c>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s="85" customFormat="1" ht="14.25" customHeight="1" x14ac:dyDescent="0.2">
      <c r="B128" s="175" t="s">
        <v>304</v>
      </c>
      <c r="C128" s="125"/>
      <c r="D128" s="126"/>
      <c r="E128" s="164">
        <f t="shared" si="95"/>
        <v>525</v>
      </c>
      <c r="F128" s="164">
        <f t="shared" si="95"/>
        <v>400</v>
      </c>
      <c r="G128" s="164">
        <f t="shared" si="95"/>
        <v>200</v>
      </c>
      <c r="H128" s="164">
        <f t="shared" si="95"/>
        <v>0</v>
      </c>
      <c r="I128" s="164"/>
      <c r="J128" s="164">
        <f t="shared" si="96"/>
        <v>0</v>
      </c>
      <c r="K128" s="164"/>
      <c r="L128" s="164">
        <f t="shared" si="96"/>
        <v>0</v>
      </c>
      <c r="M128" s="164">
        <f t="shared" si="96"/>
        <v>0</v>
      </c>
      <c r="N128" s="164"/>
      <c r="O128" s="164"/>
      <c r="P128" s="164">
        <f t="shared" si="97"/>
        <v>292.34699999999998</v>
      </c>
      <c r="Q128" s="164">
        <f t="shared" si="97"/>
        <v>312.435</v>
      </c>
      <c r="R128" s="164">
        <f t="shared" si="97"/>
        <v>342.13300000000004</v>
      </c>
      <c r="S128" s="164">
        <f t="shared" si="97"/>
        <v>708.23299999999995</v>
      </c>
      <c r="T128" s="164"/>
      <c r="U128" s="164"/>
      <c r="V128" s="164"/>
      <c r="W128" s="164">
        <f t="shared" si="98"/>
        <v>194.01600000000002</v>
      </c>
      <c r="X128" s="164">
        <f t="shared" si="98"/>
        <v>157.01600000000002</v>
      </c>
      <c r="Y128" s="164">
        <f t="shared" si="98"/>
        <v>389.48899999999998</v>
      </c>
      <c r="Z128" s="164">
        <f t="shared" si="98"/>
        <v>122.267</v>
      </c>
      <c r="AA128" s="164"/>
      <c r="AB128" s="164"/>
      <c r="AC128" s="164"/>
      <c r="AD128" s="164">
        <f>AD46</f>
        <v>280</v>
      </c>
      <c r="AE128" s="164">
        <f>AE46</f>
        <v>235</v>
      </c>
      <c r="AF128" s="164"/>
      <c r="AG128" s="164"/>
      <c r="AH128" s="164">
        <f>AH46</f>
        <v>0</v>
      </c>
      <c r="AI128" s="164">
        <f>AI46</f>
        <v>0</v>
      </c>
      <c r="AJ128" s="164"/>
      <c r="AK128" s="164"/>
      <c r="AL128" s="164">
        <f>AL46</f>
        <v>0</v>
      </c>
      <c r="AM128" s="164">
        <f>AM46</f>
        <v>0</v>
      </c>
      <c r="AN128" s="164"/>
      <c r="AO128" s="164"/>
      <c r="AP128" s="164"/>
      <c r="AQ128" s="164"/>
      <c r="AR128" s="164">
        <f t="shared" si="99"/>
        <v>536.43700000000001</v>
      </c>
      <c r="AS128" s="164">
        <f t="shared" si="99"/>
        <v>315.95899999999995</v>
      </c>
      <c r="AT128" s="164">
        <f t="shared" si="99"/>
        <v>206.90800000000004</v>
      </c>
      <c r="AU128" s="164">
        <f t="shared" si="99"/>
        <v>93.742000000000004</v>
      </c>
      <c r="AV128" s="164"/>
      <c r="AW128" s="164">
        <f t="shared" si="100"/>
        <v>0</v>
      </c>
      <c r="AX128" s="164"/>
      <c r="AY128" s="164">
        <f t="shared" si="100"/>
        <v>0</v>
      </c>
      <c r="AZ128" s="164">
        <f t="shared" si="100"/>
        <v>0</v>
      </c>
      <c r="BA128" s="164">
        <f t="shared" si="100"/>
        <v>0</v>
      </c>
      <c r="BB128" s="164"/>
      <c r="BC128" s="164">
        <f t="shared" si="100"/>
        <v>0</v>
      </c>
      <c r="BD128" s="164"/>
      <c r="BE128" s="164"/>
      <c r="BF128" s="164"/>
      <c r="BG128" s="164">
        <f t="shared" si="101"/>
        <v>5619</v>
      </c>
      <c r="BH128" s="164">
        <f t="shared" si="101"/>
        <v>11551</v>
      </c>
      <c r="BI128" s="164">
        <f t="shared" si="101"/>
        <v>5495</v>
      </c>
      <c r="BJ128" s="164">
        <f t="shared" si="101"/>
        <v>1745</v>
      </c>
      <c r="BK128" s="164"/>
      <c r="BL128" s="164">
        <f t="shared" si="102"/>
        <v>0</v>
      </c>
      <c r="BM128" s="164"/>
      <c r="BN128" s="164">
        <f t="shared" si="102"/>
        <v>1868.2550000000001</v>
      </c>
      <c r="BO128" s="164">
        <f t="shared" si="102"/>
        <v>750</v>
      </c>
      <c r="BP128" s="164">
        <f t="shared" si="102"/>
        <v>0</v>
      </c>
      <c r="BQ128" s="164">
        <f t="shared" si="102"/>
        <v>0</v>
      </c>
      <c r="BR128" s="164"/>
      <c r="BS128" s="164">
        <f t="shared" si="103"/>
        <v>0</v>
      </c>
      <c r="BT128" s="164"/>
      <c r="BU128" s="164">
        <f t="shared" si="103"/>
        <v>50</v>
      </c>
      <c r="BV128" s="164">
        <f t="shared" si="103"/>
        <v>25</v>
      </c>
      <c r="BW128" s="164">
        <f t="shared" si="103"/>
        <v>0</v>
      </c>
      <c r="BX128" s="164"/>
      <c r="BY128" s="164">
        <f t="shared" si="103"/>
        <v>0</v>
      </c>
      <c r="BZ128" s="164">
        <f t="shared" si="103"/>
        <v>0</v>
      </c>
      <c r="CA128" s="164"/>
      <c r="CB128" s="164"/>
      <c r="CC128" s="164">
        <f t="shared" si="104"/>
        <v>0</v>
      </c>
      <c r="CD128" s="164">
        <f t="shared" si="104"/>
        <v>0</v>
      </c>
      <c r="CE128" s="164">
        <f t="shared" si="104"/>
        <v>0</v>
      </c>
      <c r="CF128" s="164"/>
      <c r="CG128" s="164">
        <f t="shared" si="105"/>
        <v>0</v>
      </c>
      <c r="CH128" s="164"/>
      <c r="CI128" s="164">
        <f t="shared" si="105"/>
        <v>0</v>
      </c>
      <c r="CJ128" s="164">
        <f t="shared" si="105"/>
        <v>0</v>
      </c>
      <c r="CK128" s="164">
        <f t="shared" si="105"/>
        <v>0</v>
      </c>
      <c r="CL128" s="164"/>
      <c r="CM128" s="164">
        <f t="shared" si="105"/>
        <v>265.98</v>
      </c>
      <c r="CN128" s="164">
        <f t="shared" si="105"/>
        <v>223.80500000000001</v>
      </c>
      <c r="CO128" s="164"/>
      <c r="CP128" s="164"/>
      <c r="CQ128" s="164"/>
      <c r="CR128" s="164">
        <f t="shared" si="106"/>
        <v>0</v>
      </c>
      <c r="CS128" s="164"/>
      <c r="CT128" s="164">
        <f t="shared" si="106"/>
        <v>250.965</v>
      </c>
      <c r="CU128" s="164">
        <f t="shared" si="106"/>
        <v>99.593999999999994</v>
      </c>
      <c r="CV128" s="164">
        <f t="shared" si="106"/>
        <v>0</v>
      </c>
      <c r="CW128" s="164"/>
      <c r="CX128" s="164">
        <f t="shared" si="106"/>
        <v>0</v>
      </c>
      <c r="CY128" s="164">
        <f t="shared" si="106"/>
        <v>0</v>
      </c>
      <c r="CZ128" s="164"/>
      <c r="DA128" s="164"/>
      <c r="DB128" s="164">
        <f t="shared" si="107"/>
        <v>0</v>
      </c>
      <c r="DC128" s="164"/>
      <c r="DD128" s="164">
        <f t="shared" si="107"/>
        <v>0</v>
      </c>
      <c r="DE128" s="164">
        <f t="shared" si="107"/>
        <v>0</v>
      </c>
      <c r="DF128" s="164">
        <f t="shared" si="107"/>
        <v>0</v>
      </c>
      <c r="DG128" s="164"/>
      <c r="DH128" s="164">
        <f t="shared" si="107"/>
        <v>844.19899999999996</v>
      </c>
      <c r="DI128" s="164">
        <f t="shared" si="107"/>
        <v>675.98199999999997</v>
      </c>
      <c r="DJ128" s="164"/>
      <c r="DK128" s="164"/>
      <c r="DL128" s="164"/>
      <c r="DM128" s="164">
        <f t="shared" si="108"/>
        <v>0</v>
      </c>
      <c r="DN128" s="164"/>
      <c r="DO128" s="164">
        <f t="shared" si="108"/>
        <v>3734</v>
      </c>
      <c r="DP128" s="164">
        <f t="shared" si="108"/>
        <v>3045</v>
      </c>
      <c r="DQ128" s="164"/>
      <c r="DR128" s="164"/>
      <c r="DS128" s="164"/>
      <c r="DT128" s="164">
        <f t="shared" si="109"/>
        <v>0</v>
      </c>
      <c r="DU128" s="164"/>
      <c r="DV128" s="164">
        <f t="shared" si="109"/>
        <v>0</v>
      </c>
      <c r="DW128" s="164">
        <f t="shared" si="109"/>
        <v>0</v>
      </c>
      <c r="DX128" s="164">
        <f t="shared" si="109"/>
        <v>0</v>
      </c>
      <c r="DY128" s="164"/>
      <c r="DZ128" s="164">
        <f t="shared" si="109"/>
        <v>5698</v>
      </c>
      <c r="EA128" s="164">
        <f t="shared" si="109"/>
        <v>5724</v>
      </c>
      <c r="EB128" s="164">
        <f t="shared" si="109"/>
        <v>0</v>
      </c>
      <c r="EC128" s="164"/>
      <c r="ED128" s="164">
        <f t="shared" si="109"/>
        <v>0</v>
      </c>
      <c r="EE128" s="164">
        <f t="shared" si="109"/>
        <v>0</v>
      </c>
      <c r="EF128" s="164">
        <f t="shared" si="109"/>
        <v>0</v>
      </c>
      <c r="EG128" s="164"/>
      <c r="EH128" s="164">
        <f t="shared" si="109"/>
        <v>84</v>
      </c>
      <c r="EI128" s="164">
        <f t="shared" si="109"/>
        <v>36</v>
      </c>
      <c r="EJ128" s="164">
        <f t="shared" si="109"/>
        <v>0</v>
      </c>
      <c r="EK128" s="164"/>
      <c r="EL128" s="164">
        <f t="shared" si="109"/>
        <v>1648</v>
      </c>
      <c r="EM128" s="164">
        <f t="shared" si="109"/>
        <v>725</v>
      </c>
      <c r="EN128" s="164">
        <f t="shared" si="109"/>
        <v>0</v>
      </c>
      <c r="EO128" s="164"/>
      <c r="EP128" s="164">
        <f t="shared" si="109"/>
        <v>0</v>
      </c>
      <c r="EQ128" s="164">
        <f t="shared" si="109"/>
        <v>0</v>
      </c>
      <c r="ER128" s="164">
        <f t="shared" si="109"/>
        <v>0</v>
      </c>
      <c r="ES128" s="164"/>
      <c r="ET128" s="164">
        <f t="shared" si="109"/>
        <v>1179.396</v>
      </c>
      <c r="EU128" s="164">
        <f t="shared" si="109"/>
        <v>1845.2849999999999</v>
      </c>
      <c r="EV128" s="164">
        <f t="shared" si="109"/>
        <v>0</v>
      </c>
      <c r="EW128" s="164"/>
      <c r="EX128" s="164">
        <f t="shared" si="109"/>
        <v>0</v>
      </c>
      <c r="EY128" s="164">
        <f t="shared" si="109"/>
        <v>0</v>
      </c>
      <c r="EZ128" s="164">
        <f t="shared" si="109"/>
        <v>0</v>
      </c>
      <c r="FA128" s="164"/>
      <c r="FB128" s="164">
        <f t="shared" si="109"/>
        <v>0</v>
      </c>
      <c r="FC128" s="164">
        <f t="shared" si="109"/>
        <v>0</v>
      </c>
      <c r="FD128" s="164">
        <f t="shared" si="109"/>
        <v>0</v>
      </c>
      <c r="FE128" s="164"/>
      <c r="FF128" s="164">
        <f t="shared" si="109"/>
        <v>2926</v>
      </c>
      <c r="FG128" s="164">
        <f t="shared" si="109"/>
        <v>4625</v>
      </c>
      <c r="FH128" s="164">
        <f t="shared" si="109"/>
        <v>0</v>
      </c>
      <c r="FI128" s="164"/>
      <c r="FJ128" s="164">
        <f t="shared" si="109"/>
        <v>0</v>
      </c>
      <c r="FK128" s="164">
        <f t="shared" si="109"/>
        <v>0</v>
      </c>
      <c r="FL128" s="164">
        <f t="shared" si="109"/>
        <v>0</v>
      </c>
      <c r="FM128" s="164"/>
      <c r="FN128" s="164">
        <f t="shared" si="109"/>
        <v>0</v>
      </c>
      <c r="FO128" s="164">
        <f t="shared" si="109"/>
        <v>0</v>
      </c>
      <c r="FP128" s="164">
        <f t="shared" si="109"/>
        <v>0</v>
      </c>
      <c r="FQ128" s="164"/>
      <c r="FR128" s="164">
        <f t="shared" si="109"/>
        <v>891.41300000000001</v>
      </c>
      <c r="FS128" s="164">
        <f t="shared" si="109"/>
        <v>57.472999999999999</v>
      </c>
      <c r="FT128" s="164">
        <f t="shared" si="109"/>
        <v>0</v>
      </c>
      <c r="FU128" s="164"/>
      <c r="FV128" s="164">
        <f t="shared" si="109"/>
        <v>0</v>
      </c>
      <c r="FW128" s="164">
        <f t="shared" si="109"/>
        <v>0</v>
      </c>
      <c r="FX128" s="164">
        <f t="shared" si="109"/>
        <v>0</v>
      </c>
      <c r="FY128" s="164"/>
      <c r="FZ128" s="164">
        <f t="shared" si="109"/>
        <v>0</v>
      </c>
      <c r="GA128" s="164">
        <f t="shared" si="109"/>
        <v>0</v>
      </c>
      <c r="GB128" s="164">
        <f t="shared" si="109"/>
        <v>0</v>
      </c>
      <c r="GC128" s="164"/>
      <c r="GD128" s="164">
        <f t="shared" si="109"/>
        <v>0</v>
      </c>
      <c r="GE128" s="164">
        <f t="shared" si="109"/>
        <v>0</v>
      </c>
      <c r="GF128" s="164">
        <f t="shared" si="110"/>
        <v>0</v>
      </c>
      <c r="GG128" s="164"/>
      <c r="GH128" s="164">
        <f t="shared" si="110"/>
        <v>0</v>
      </c>
      <c r="GI128" s="164">
        <f t="shared" si="110"/>
        <v>0</v>
      </c>
      <c r="GJ128" s="164">
        <f t="shared" si="110"/>
        <v>0</v>
      </c>
      <c r="GK128" s="164"/>
      <c r="GL128" s="164">
        <f t="shared" si="110"/>
        <v>829.00400000000002</v>
      </c>
      <c r="GM128" s="164">
        <f t="shared" si="110"/>
        <v>83.706000000000003</v>
      </c>
      <c r="GN128" s="164">
        <f t="shared" si="110"/>
        <v>0</v>
      </c>
      <c r="GO128" s="164"/>
      <c r="GP128" s="164">
        <f t="shared" si="110"/>
        <v>38195</v>
      </c>
      <c r="GQ128" s="164">
        <f t="shared" si="110"/>
        <v>26034</v>
      </c>
      <c r="GR128" s="164">
        <f t="shared" si="110"/>
        <v>0</v>
      </c>
      <c r="GS128" s="164"/>
      <c r="GT128" s="164">
        <f t="shared" si="110"/>
        <v>0</v>
      </c>
      <c r="GU128" s="164">
        <f t="shared" si="110"/>
        <v>0</v>
      </c>
      <c r="GV128" s="164">
        <f t="shared" si="110"/>
        <v>0</v>
      </c>
      <c r="GW128" s="164"/>
      <c r="GX128" s="164">
        <f t="shared" si="110"/>
        <v>383.41800000000001</v>
      </c>
      <c r="GY128" s="164">
        <f t="shared" si="110"/>
        <v>288.52</v>
      </c>
      <c r="GZ128" s="164">
        <f t="shared" si="110"/>
        <v>0</v>
      </c>
      <c r="HA128" s="164"/>
      <c r="HB128" s="164">
        <f t="shared" si="111"/>
        <v>0</v>
      </c>
      <c r="HC128" s="164">
        <f t="shared" si="111"/>
        <v>0</v>
      </c>
      <c r="HD128" s="164">
        <f t="shared" si="111"/>
        <v>0</v>
      </c>
      <c r="HE128" s="164"/>
      <c r="HF128" s="164">
        <f t="shared" si="112"/>
        <v>0</v>
      </c>
      <c r="HG128" s="164">
        <f t="shared" si="112"/>
        <v>0</v>
      </c>
      <c r="HH128" s="164">
        <f t="shared" si="112"/>
        <v>0</v>
      </c>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x14ac:dyDescent="0.2">
      <c r="A129" s="74"/>
      <c r="B129" s="175" t="s">
        <v>305</v>
      </c>
      <c r="C129" s="106"/>
      <c r="D129" s="107"/>
      <c r="E129" s="55">
        <f>(E45-F45)/E142</f>
        <v>125</v>
      </c>
      <c r="F129" s="55">
        <f>(F45-G45)/F142</f>
        <v>200</v>
      </c>
      <c r="G129" s="55">
        <f>(G45-H45)/G142</f>
        <v>200</v>
      </c>
      <c r="H129" s="55">
        <f>(H45-I45)/H142</f>
        <v>0</v>
      </c>
      <c r="I129" s="55"/>
      <c r="J129" s="114"/>
      <c r="K129" s="108"/>
      <c r="L129" s="55">
        <f>(L45-M45)/L142</f>
        <v>0</v>
      </c>
      <c r="M129" s="120"/>
      <c r="N129" s="106"/>
      <c r="O129" s="107"/>
      <c r="P129" s="55">
        <f>(P45-Q45)/P142</f>
        <v>101.602</v>
      </c>
      <c r="Q129" s="55">
        <f>(Q45-R45)/Q142</f>
        <v>19.924000000000007</v>
      </c>
      <c r="R129" s="55">
        <f>(R45-S45)/R142</f>
        <v>-23.683999999999997</v>
      </c>
      <c r="S129" s="55">
        <f>(S45-T45)/S142</f>
        <v>112.61799999999999</v>
      </c>
      <c r="T129" s="120"/>
      <c r="U129" s="114"/>
      <c r="V129" s="108"/>
      <c r="W129" s="55">
        <f>(W45-X45)/W142</f>
        <v>0</v>
      </c>
      <c r="X129" s="55">
        <f>(X45-Y45)/X142</f>
        <v>0</v>
      </c>
      <c r="Y129" s="55">
        <f>(Y45-Z45)/Y142</f>
        <v>0</v>
      </c>
      <c r="Z129" s="55">
        <f>(Z45-AA45)/Z142</f>
        <v>0</v>
      </c>
      <c r="AA129" s="120"/>
      <c r="AB129" s="114"/>
      <c r="AC129" s="108"/>
      <c r="AD129" s="55">
        <f>(AD45-AE45)/AD142</f>
        <v>45</v>
      </c>
      <c r="AE129" s="120"/>
      <c r="AF129" s="114"/>
      <c r="AG129" s="108"/>
      <c r="AH129" s="55">
        <f>(AH45-AI45)/AH142</f>
        <v>0</v>
      </c>
      <c r="AI129" s="120"/>
      <c r="AJ129" s="114"/>
      <c r="AK129" s="108"/>
      <c r="AL129" s="55">
        <f>(AL45-AM45)/AL142</f>
        <v>0</v>
      </c>
      <c r="AM129" s="120"/>
      <c r="AN129" s="120"/>
      <c r="AO129" s="120"/>
      <c r="AP129" s="114"/>
      <c r="AQ129" s="108"/>
      <c r="AR129" s="55">
        <f>(AR45-AS45)/AR142</f>
        <v>0</v>
      </c>
      <c r="AS129" s="55">
        <f>(AS45-AT45)/AS142</f>
        <v>0</v>
      </c>
      <c r="AT129" s="55">
        <f>(AT45-AU45)/AT142</f>
        <v>0</v>
      </c>
      <c r="AU129" s="120"/>
      <c r="AV129" s="120"/>
      <c r="AW129" s="114"/>
      <c r="AX129" s="108"/>
      <c r="AY129" s="55">
        <f>(AY45-AZ45)/AY142</f>
        <v>0</v>
      </c>
      <c r="AZ129" s="120"/>
      <c r="BA129" s="119"/>
      <c r="BB129" s="26"/>
      <c r="BC129" s="55">
        <f>(BC45-BD45)/BC142</f>
        <v>0</v>
      </c>
      <c r="BD129" s="110"/>
      <c r="BE129" s="119"/>
      <c r="BF129" s="26"/>
      <c r="BG129" s="55">
        <f>(BG45-BH45)/BG142</f>
        <v>1541</v>
      </c>
      <c r="BH129" s="55">
        <f>(BH45-BI45)/BH142</f>
        <v>1243</v>
      </c>
      <c r="BI129" s="55">
        <f>(BI45-BJ45)/BI142</f>
        <v>840.74074074074065</v>
      </c>
      <c r="BJ129" s="55">
        <f>(BJ45-BK45)/BJ142</f>
        <v>6812.5</v>
      </c>
      <c r="BK129" s="110"/>
      <c r="BL129" s="119"/>
      <c r="BM129" s="26"/>
      <c r="BN129" s="55">
        <f>(BN45-BO45)/BN142</f>
        <v>0</v>
      </c>
      <c r="BO129" s="55">
        <f>(BO45-BP45)/BO142</f>
        <v>0</v>
      </c>
      <c r="BP129" s="55">
        <f>(BP45-BQ45)/BP142</f>
        <v>0</v>
      </c>
      <c r="BQ129" s="55">
        <f>(BQ45-BR45)/BQ142</f>
        <v>0</v>
      </c>
      <c r="BR129" s="110"/>
      <c r="BS129" s="114"/>
      <c r="BT129" s="55"/>
      <c r="BU129" s="55">
        <f>(BU45-BV45)/BU142</f>
        <v>0</v>
      </c>
      <c r="BV129" s="110"/>
      <c r="BY129" s="55">
        <f>(BY45-BZ45)/BY142</f>
        <v>0</v>
      </c>
      <c r="BZ129" s="120"/>
      <c r="CA129" s="109"/>
      <c r="CB129" s="110"/>
      <c r="CC129" s="55">
        <f>(CC45-CD45)/CC142</f>
        <v>0</v>
      </c>
      <c r="CD129" s="120"/>
      <c r="CE129" s="120"/>
      <c r="CF129" s="120"/>
      <c r="CG129" s="114"/>
      <c r="CH129" s="108"/>
      <c r="CI129" s="55">
        <f>(CI45-CJ45)/CI142</f>
        <v>-626</v>
      </c>
      <c r="CJ129" s="120"/>
      <c r="CK129" s="114"/>
      <c r="CL129" s="108"/>
      <c r="CM129" s="55">
        <f>(CM45-CN45)/CM142</f>
        <v>42.175000000000011</v>
      </c>
      <c r="CN129" s="120"/>
      <c r="CO129" s="120"/>
      <c r="CP129" s="120"/>
      <c r="CQ129" s="120"/>
      <c r="CR129" s="114"/>
      <c r="CS129" s="108"/>
      <c r="CT129" s="55">
        <f>(CT45-CU45)/CT142</f>
        <v>-18.628999999999991</v>
      </c>
      <c r="CU129" s="120"/>
      <c r="CV129" s="114"/>
      <c r="CW129" s="108"/>
      <c r="CX129" s="55">
        <f>(CX45-CY45)/CX142</f>
        <v>0</v>
      </c>
      <c r="CY129" s="120"/>
      <c r="CZ129" s="120"/>
      <c r="DA129" s="120"/>
      <c r="DB129" s="114"/>
      <c r="DC129" s="108"/>
      <c r="DD129" s="55">
        <f>(DD45-DE45)/DD142</f>
        <v>0</v>
      </c>
      <c r="DE129" s="120"/>
      <c r="DF129" s="114"/>
      <c r="DG129" s="108"/>
      <c r="DH129" s="55">
        <f>(DH45-DI45)/DH142</f>
        <v>168.21699999999998</v>
      </c>
      <c r="DI129" s="120"/>
      <c r="DJ129" s="120"/>
      <c r="DK129" s="120"/>
      <c r="DL129" s="120"/>
      <c r="DO129" s="55">
        <f>(DO45-DP45)/DO142</f>
        <v>277</v>
      </c>
      <c r="DP129" s="120"/>
      <c r="DQ129" s="120"/>
      <c r="DR129" s="120"/>
      <c r="DS129" s="120"/>
      <c r="DT129" s="114"/>
      <c r="DU129" s="108"/>
      <c r="DV129" s="55">
        <f>(DV45-DW45)/DV142</f>
        <v>0</v>
      </c>
      <c r="DW129" s="120"/>
      <c r="DX129" s="114"/>
      <c r="DY129" s="108"/>
      <c r="DZ129" s="55">
        <f>(DZ45-EA45)/DZ142</f>
        <v>504</v>
      </c>
      <c r="EA129" s="120"/>
      <c r="ED129" s="55">
        <f>(ED45-EE45)/ED142</f>
        <v>0</v>
      </c>
      <c r="EE129" s="120"/>
      <c r="EH129" s="55">
        <f>(EH45-EI45)/EH142</f>
        <v>48</v>
      </c>
      <c r="EI129" s="120"/>
      <c r="EL129" s="55">
        <f>(EL45-EM45)/EL142</f>
        <v>923</v>
      </c>
      <c r="EM129" s="120"/>
      <c r="EP129" s="55">
        <f>(EP45-EQ45)/EP142</f>
        <v>0</v>
      </c>
      <c r="EQ129" s="120"/>
      <c r="ET129" s="55">
        <f>(ET45-EU45)/ET142</f>
        <v>101.44100000000003</v>
      </c>
      <c r="EU129" s="120"/>
      <c r="EX129" s="55">
        <f>(EX45-EY45)/EX142</f>
        <v>-767.32999999999993</v>
      </c>
      <c r="EY129" s="120"/>
      <c r="FB129" s="55">
        <f>(FB45-FC45)/FB142</f>
        <v>0</v>
      </c>
      <c r="FC129" s="120"/>
      <c r="FF129" s="55">
        <f>(FF45-FG45)/FF142</f>
        <v>-1869</v>
      </c>
      <c r="FG129" s="120"/>
      <c r="FJ129" s="55">
        <f>(FJ45-FK45)/FJ142</f>
        <v>0</v>
      </c>
      <c r="FK129" s="120"/>
      <c r="FN129" s="55">
        <f>(FN45-FO45)/FN142</f>
        <v>0</v>
      </c>
      <c r="FO129" s="120"/>
      <c r="FR129" s="55">
        <f>(FR45-FS45)/FR142</f>
        <v>833.94</v>
      </c>
      <c r="FS129" s="120"/>
      <c r="FV129" s="55">
        <f>(FV45-FW45)/FV142</f>
        <v>0</v>
      </c>
      <c r="FW129" s="120"/>
      <c r="FZ129" s="55">
        <f>(FZ45-GA45)/FZ142</f>
        <v>0</v>
      </c>
      <c r="GA129" s="120"/>
      <c r="GD129" s="55">
        <f>(GD45-GE45)/GD142</f>
        <v>0</v>
      </c>
      <c r="GE129" s="120"/>
      <c r="GH129" s="55">
        <f>(GH45-GI45)/GH142</f>
        <v>0</v>
      </c>
      <c r="GI129" s="120"/>
      <c r="GL129" s="55">
        <f>(GL45-GM45)/GL142</f>
        <v>179.864</v>
      </c>
      <c r="GM129" s="120"/>
      <c r="GP129" s="55">
        <f>(GP45-GQ45)/GP142</f>
        <v>12161</v>
      </c>
      <c r="GQ129" s="120"/>
      <c r="GT129" s="55">
        <f>(GT45-GU45)/GT142</f>
        <v>0</v>
      </c>
      <c r="GU129" s="120"/>
      <c r="GX129" s="55">
        <f>(GX45-GY45)/GX142</f>
        <v>159.21299999999999</v>
      </c>
      <c r="GY129" s="120"/>
      <c r="HB129" s="55">
        <f>(HB45-HC45)/HB142</f>
        <v>0</v>
      </c>
      <c r="HC129" s="120"/>
      <c r="HF129" s="55">
        <f>(HF45-HG45)/HF142</f>
        <v>0</v>
      </c>
      <c r="HG129" s="55">
        <f>(HG45-HH45)/HG142</f>
        <v>-145</v>
      </c>
      <c r="HH129" s="120"/>
    </row>
    <row r="130" spans="1:256" x14ac:dyDescent="0.2">
      <c r="A130" s="74"/>
      <c r="B130" s="175" t="s">
        <v>306</v>
      </c>
      <c r="C130" s="106"/>
      <c r="D130" s="107"/>
      <c r="E130" s="55">
        <f>(E46-F46)/E142</f>
        <v>125</v>
      </c>
      <c r="F130" s="55">
        <f>(F46-G46)/F142</f>
        <v>200</v>
      </c>
      <c r="G130" s="55">
        <f>(G46-H46)/G142</f>
        <v>200</v>
      </c>
      <c r="H130" s="55">
        <f>(H46-I46)/H142</f>
        <v>0</v>
      </c>
      <c r="I130" s="55"/>
      <c r="J130" s="55" t="e">
        <f>(J46-L46)/J142</f>
        <v>#DIV/0!</v>
      </c>
      <c r="K130" s="55"/>
      <c r="L130" s="55">
        <f>(L46-M46)/L142</f>
        <v>0</v>
      </c>
      <c r="M130" s="55" t="e">
        <f>(M46-N46)/M142</f>
        <v>#DIV/0!</v>
      </c>
      <c r="N130" s="55"/>
      <c r="O130" s="55"/>
      <c r="P130" s="55">
        <f>(P46-Q46)/P142</f>
        <v>-20.088000000000022</v>
      </c>
      <c r="Q130" s="55">
        <f>(Q46-R46)/Q142</f>
        <v>-29.698000000000036</v>
      </c>
      <c r="R130" s="55">
        <f>(R46-S46)/R142</f>
        <v>-366.09999999999991</v>
      </c>
      <c r="S130" s="55">
        <f>(S46-T46)/S142</f>
        <v>708.23299999999995</v>
      </c>
      <c r="T130" s="55"/>
      <c r="U130" s="55"/>
      <c r="V130" s="55"/>
      <c r="W130" s="55">
        <f>(W46-X46)/W142</f>
        <v>37</v>
      </c>
      <c r="X130" s="55">
        <f>(X46-Y46)/X142</f>
        <v>-232.47299999999996</v>
      </c>
      <c r="Y130" s="55">
        <f>(Y46-Z46)/Y142</f>
        <v>267.22199999999998</v>
      </c>
      <c r="Z130" s="55">
        <f>(Z46-AA46)/Z142</f>
        <v>122.267</v>
      </c>
      <c r="AA130" s="55"/>
      <c r="AB130" s="55"/>
      <c r="AC130" s="55"/>
      <c r="AD130" s="55">
        <f>(AD46-AE46)/AD142</f>
        <v>45</v>
      </c>
      <c r="AE130" s="55" t="e">
        <f>(AE46-AF46)/AE142</f>
        <v>#DIV/0!</v>
      </c>
      <c r="AF130" s="55"/>
      <c r="AG130" s="55"/>
      <c r="AH130" s="55">
        <f>(AH46-AI46)/AH142</f>
        <v>0</v>
      </c>
      <c r="AI130" s="55" t="e">
        <f>(AI46-AJ46)/AI142</f>
        <v>#DIV/0!</v>
      </c>
      <c r="AJ130" s="55"/>
      <c r="AK130" s="55"/>
      <c r="AL130" s="55">
        <f>(AL46-AM46)/AL142</f>
        <v>0</v>
      </c>
      <c r="AM130" s="55" t="e">
        <f>(AM46-AP46)/AM142</f>
        <v>#DIV/0!</v>
      </c>
      <c r="AN130" s="55"/>
      <c r="AO130" s="55"/>
      <c r="AP130" s="55"/>
      <c r="AQ130" s="55"/>
      <c r="AR130" s="55">
        <f>(AR46-AS46)/AR142</f>
        <v>220.47800000000007</v>
      </c>
      <c r="AS130" s="55">
        <f>(AS46-AT46)/AS142</f>
        <v>109.0509999999999</v>
      </c>
      <c r="AT130" s="55">
        <f>(AT46-AU46)/AT142</f>
        <v>113.16600000000004</v>
      </c>
      <c r="AU130" s="55">
        <f>(AU46-AW46)/AU142</f>
        <v>93.742000000000004</v>
      </c>
      <c r="AV130" s="55"/>
      <c r="AW130" s="55" t="e">
        <f>(AW46-AY46)/AW142</f>
        <v>#DIV/0!</v>
      </c>
      <c r="AX130" s="55"/>
      <c r="AY130" s="55">
        <f>(AY46-AZ46)/AY142</f>
        <v>0</v>
      </c>
      <c r="AZ130" s="55" t="e">
        <f>(AZ46-BA46)/AZ142</f>
        <v>#DIV/0!</v>
      </c>
      <c r="BA130" s="55" t="e">
        <f>(BA46-BC46)/BA142</f>
        <v>#DIV/0!</v>
      </c>
      <c r="BB130" s="55"/>
      <c r="BC130" s="55">
        <f>(BC46-BD46)/BC142</f>
        <v>0</v>
      </c>
      <c r="BD130" s="55"/>
      <c r="BE130" s="55"/>
      <c r="BF130" s="55"/>
      <c r="BG130" s="55">
        <f>(BG46-BH46)/BG142</f>
        <v>-5932</v>
      </c>
      <c r="BH130" s="55">
        <f>(BH46-BI46)/BH142</f>
        <v>6056</v>
      </c>
      <c r="BI130" s="55">
        <f>(BI46-BJ46)/BI142</f>
        <v>3472.2222222222222</v>
      </c>
      <c r="BJ130" s="55">
        <f>(BJ46-BK46)/BJ142</f>
        <v>21812.5</v>
      </c>
      <c r="BK130" s="55"/>
      <c r="BL130" s="55" t="e">
        <f>(BL46-BN46)/BL142</f>
        <v>#DIV/0!</v>
      </c>
      <c r="BM130" s="55"/>
      <c r="BN130" s="55">
        <f>(BN46-BO46)/BN142</f>
        <v>1118.2550000000001</v>
      </c>
      <c r="BO130" s="55">
        <f>(BO46-BP46)/BO142</f>
        <v>750</v>
      </c>
      <c r="BP130" s="55">
        <f>(BP46-BQ46)/BP142</f>
        <v>0</v>
      </c>
      <c r="BQ130" s="55">
        <f>(BQ46-BR46)/BQ142</f>
        <v>0</v>
      </c>
      <c r="BR130" s="55"/>
      <c r="BS130" s="55" t="e">
        <f>(BS46-BU46)/BS142</f>
        <v>#DIV/0!</v>
      </c>
      <c r="BT130" s="55"/>
      <c r="BU130" s="55">
        <f>(BU46-BV46)/BU142</f>
        <v>25</v>
      </c>
      <c r="BV130" s="55" t="e">
        <f>(BV46-BW46)/BV142</f>
        <v>#DIV/0!</v>
      </c>
      <c r="BW130" s="55" t="e">
        <f>(BW46-BY46)/BW142</f>
        <v>#DIV/0!</v>
      </c>
      <c r="BX130" s="55"/>
      <c r="BY130" s="55">
        <f>(BY46-BZ46)/BY142</f>
        <v>0</v>
      </c>
      <c r="BZ130" s="55" t="e">
        <f>(BZ46-CA46)/BZ142</f>
        <v>#DIV/0!</v>
      </c>
      <c r="CA130" s="55"/>
      <c r="CB130" s="55"/>
      <c r="CC130" s="55">
        <f>(CC46-CD46)/CC142</f>
        <v>0</v>
      </c>
      <c r="CD130" s="55">
        <f>(CD46-CG46)/CD142</f>
        <v>0</v>
      </c>
      <c r="CE130" s="55">
        <f>(CE46-CI46)/CE142</f>
        <v>0</v>
      </c>
      <c r="CF130" s="55"/>
      <c r="CG130" s="55" t="e">
        <f>(CG46-CI46)/CG142</f>
        <v>#DIV/0!</v>
      </c>
      <c r="CH130" s="55"/>
      <c r="CI130" s="55">
        <f>(CI46-CJ46)/CI142</f>
        <v>0</v>
      </c>
      <c r="CJ130" s="55" t="e">
        <f>(CJ46-CK46)/CJ142</f>
        <v>#DIV/0!</v>
      </c>
      <c r="CK130" s="55" t="e">
        <f>(CK46-CM46)/CK142</f>
        <v>#DIV/0!</v>
      </c>
      <c r="CL130" s="55"/>
      <c r="CM130" s="55">
        <f>(CM46-CN46)/CM142</f>
        <v>42.175000000000011</v>
      </c>
      <c r="CN130" s="55" t="e">
        <f>(CN46-CR46)/CN142</f>
        <v>#DIV/0!</v>
      </c>
      <c r="CO130" s="55"/>
      <c r="CP130" s="55"/>
      <c r="CQ130" s="55"/>
      <c r="CR130" s="55" t="e">
        <f>(CR46-CT46)/CR142</f>
        <v>#DIV/0!</v>
      </c>
      <c r="CS130" s="55"/>
      <c r="CT130" s="55">
        <f>(CT46-CU46)/CT142</f>
        <v>151.37100000000001</v>
      </c>
      <c r="CU130" s="55" t="e">
        <f>(CU46-CV46)/CU142</f>
        <v>#DIV/0!</v>
      </c>
      <c r="CV130" s="55" t="e">
        <f>(CV46-CX46)/CV142</f>
        <v>#DIV/0!</v>
      </c>
      <c r="CW130" s="55"/>
      <c r="CX130" s="55">
        <f>(CX46-CY46)/CX142</f>
        <v>0</v>
      </c>
      <c r="CY130" s="55" t="e">
        <f>(CY46-DB46)/CY142</f>
        <v>#DIV/0!</v>
      </c>
      <c r="CZ130" s="55"/>
      <c r="DA130" s="55"/>
      <c r="DB130" s="55" t="e">
        <f>(DB46-DD46)/DB142</f>
        <v>#DIV/0!</v>
      </c>
      <c r="DC130" s="55"/>
      <c r="DD130" s="55">
        <f>(DD46-DE46)/DD142</f>
        <v>0</v>
      </c>
      <c r="DE130" s="55" t="e">
        <f>(DE46-DF46)/DE142</f>
        <v>#DIV/0!</v>
      </c>
      <c r="DF130" s="55" t="e">
        <f>(DF46-DH46)/DF142</f>
        <v>#DIV/0!</v>
      </c>
      <c r="DG130" s="55"/>
      <c r="DH130" s="55">
        <f>(DH46-DI46)/DH142</f>
        <v>168.21699999999998</v>
      </c>
      <c r="DI130" s="55" t="e">
        <f>(DI46-DM46)/DI142</f>
        <v>#DIV/0!</v>
      </c>
      <c r="DJ130" s="55"/>
      <c r="DK130" s="55"/>
      <c r="DL130" s="55"/>
      <c r="DM130" s="55" t="e">
        <f>(DM46-DO46)/DM142</f>
        <v>#DIV/0!</v>
      </c>
      <c r="DN130" s="55"/>
      <c r="DO130" s="55">
        <f>(DO46-DP46)/DO142</f>
        <v>689</v>
      </c>
      <c r="DP130" s="55" t="e">
        <f>(DP46-DT46)/DP142</f>
        <v>#DIV/0!</v>
      </c>
      <c r="DQ130" s="55"/>
      <c r="DR130" s="55"/>
      <c r="DS130" s="55"/>
      <c r="DT130" s="55" t="e">
        <f>(DT46-DV46)/DT142</f>
        <v>#DIV/0!</v>
      </c>
      <c r="DU130" s="55"/>
      <c r="DV130" s="55">
        <f>(DV46-DW46)/DV142</f>
        <v>0</v>
      </c>
      <c r="DW130" s="55" t="e">
        <f>(DW46-DX46)/DW142</f>
        <v>#DIV/0!</v>
      </c>
      <c r="DX130" s="55" t="e">
        <f>(DX46-DZ46)/DX142</f>
        <v>#DIV/0!</v>
      </c>
      <c r="DY130" s="55"/>
      <c r="DZ130" s="55">
        <f>(DZ46-EA46)/DZ142</f>
        <v>-26</v>
      </c>
      <c r="EA130" s="55" t="e">
        <f>(EA46-EB46)/EA142</f>
        <v>#DIV/0!</v>
      </c>
      <c r="EB130" s="55" t="e">
        <f>(EB46-ED46)/EB142</f>
        <v>#DIV/0!</v>
      </c>
      <c r="EC130" s="55"/>
      <c r="ED130" s="55">
        <f>(ED46-EE46)/ED142</f>
        <v>0</v>
      </c>
      <c r="EE130" s="55" t="e">
        <f>(EE46-EF46)/EE142</f>
        <v>#DIV/0!</v>
      </c>
      <c r="EF130" s="55" t="e">
        <f>(EF46-EH46)/EF142</f>
        <v>#DIV/0!</v>
      </c>
      <c r="EG130" s="55"/>
      <c r="EH130" s="55">
        <f>(EH46-EI46)/EH142</f>
        <v>48</v>
      </c>
      <c r="EI130" s="55" t="e">
        <f>(EI46-EJ46)/EI142</f>
        <v>#DIV/0!</v>
      </c>
      <c r="EJ130" s="55" t="e">
        <f>(EJ46-EL46)/EJ142</f>
        <v>#DIV/0!</v>
      </c>
      <c r="EK130" s="55"/>
      <c r="EL130" s="55">
        <f>(EL46-EM46)/EL142</f>
        <v>923</v>
      </c>
      <c r="EM130" s="55" t="e">
        <f>(EM46-EN46)/EM142</f>
        <v>#DIV/0!</v>
      </c>
      <c r="EN130" s="55" t="e">
        <f>(EN46-EP46)/EN142</f>
        <v>#DIV/0!</v>
      </c>
      <c r="EO130" s="55"/>
      <c r="EP130" s="55">
        <f>(EP46-EQ46)/EP142</f>
        <v>0</v>
      </c>
      <c r="EQ130" s="55" t="e">
        <f>(EQ46-ER46)/EQ142</f>
        <v>#DIV/0!</v>
      </c>
      <c r="ER130" s="55" t="e">
        <f>(ER46-ET46)/ER142</f>
        <v>#DIV/0!</v>
      </c>
      <c r="ES130" s="55"/>
      <c r="ET130" s="55">
        <f>(ET46-EU46)/ET142</f>
        <v>-665.8889999999999</v>
      </c>
      <c r="EU130" s="55" t="e">
        <f>(EU46-EV46)/EU142</f>
        <v>#DIV/0!</v>
      </c>
      <c r="EV130" s="55" t="e">
        <f>(EV46-EX46)/EV142</f>
        <v>#DIV/0!</v>
      </c>
      <c r="EW130" s="55"/>
      <c r="EX130" s="55">
        <f>(EX46-EY46)/EX142</f>
        <v>0</v>
      </c>
      <c r="EY130" s="55" t="e">
        <f>(EY46-EZ46)/EY142</f>
        <v>#DIV/0!</v>
      </c>
      <c r="EZ130" s="55" t="e">
        <f>(EZ46-FB46)/EZ142</f>
        <v>#DIV/0!</v>
      </c>
      <c r="FA130" s="55"/>
      <c r="FB130" s="55">
        <f>(FB46-FC46)/FB142</f>
        <v>0</v>
      </c>
      <c r="FC130" s="55" t="e">
        <f>(FC46-FD46)/FC142</f>
        <v>#DIV/0!</v>
      </c>
      <c r="FD130" s="55" t="e">
        <f>(FD46-FF46)/FD142</f>
        <v>#DIV/0!</v>
      </c>
      <c r="FE130" s="55"/>
      <c r="FF130" s="55">
        <f>(FF46-FG46)/FF142</f>
        <v>-1699</v>
      </c>
      <c r="FG130" s="55" t="e">
        <f>(FG46-FH46)/FG142</f>
        <v>#DIV/0!</v>
      </c>
      <c r="FH130" s="55" t="e">
        <f>(FH46-FJ46)/FH142</f>
        <v>#DIV/0!</v>
      </c>
      <c r="FI130" s="55"/>
      <c r="FJ130" s="55">
        <f>(FJ46-FK46)/FJ142</f>
        <v>0</v>
      </c>
      <c r="FK130" s="55" t="e">
        <f>(FK46-FL46)/FK142</f>
        <v>#DIV/0!</v>
      </c>
      <c r="FL130" s="55" t="e">
        <f>(FL46-FN46)/FL142</f>
        <v>#DIV/0!</v>
      </c>
      <c r="FM130" s="55"/>
      <c r="FN130" s="55">
        <f>(FN46-FO46)/FN142</f>
        <v>0</v>
      </c>
      <c r="FO130" s="55" t="e">
        <f>(FO46-FP46)/FO142</f>
        <v>#DIV/0!</v>
      </c>
      <c r="FP130" s="55" t="e">
        <f>(FP46-FR46)/FP142</f>
        <v>#DIV/0!</v>
      </c>
      <c r="FQ130" s="55"/>
      <c r="FR130" s="55">
        <f>(FR46-FS46)/FR142</f>
        <v>833.94</v>
      </c>
      <c r="FS130" s="55" t="e">
        <f>(FS46-FT46)/FS142</f>
        <v>#DIV/0!</v>
      </c>
      <c r="FT130" s="55" t="e">
        <f>(FT46-FV46)/FT142</f>
        <v>#DIV/0!</v>
      </c>
      <c r="FU130" s="55"/>
      <c r="FV130" s="55">
        <f>(FV46-FW46)/FV142</f>
        <v>0</v>
      </c>
      <c r="FW130" s="55" t="e">
        <f>(FW46-FX46)/FW142</f>
        <v>#DIV/0!</v>
      </c>
      <c r="FX130" s="55" t="e">
        <f>(FX46-FZ46)/FX142</f>
        <v>#DIV/0!</v>
      </c>
      <c r="FY130" s="55"/>
      <c r="FZ130" s="55">
        <f>(FZ46-GA46)/FZ142</f>
        <v>0</v>
      </c>
      <c r="GA130" s="55" t="e">
        <f>(GA46-GB46)/GA142</f>
        <v>#DIV/0!</v>
      </c>
      <c r="GB130" s="55" t="e">
        <f>(GB46-GD46)/GB142</f>
        <v>#DIV/0!</v>
      </c>
      <c r="GC130" s="55"/>
      <c r="GD130" s="55">
        <f>(GD46-GE46)/GD142</f>
        <v>0</v>
      </c>
      <c r="GE130" s="55" t="e">
        <f>(GE46-GF46)/GE142</f>
        <v>#DIV/0!</v>
      </c>
      <c r="GF130" s="55" t="e">
        <f>(GF46-GH46)/GF142</f>
        <v>#DIV/0!</v>
      </c>
      <c r="GG130" s="55"/>
      <c r="GH130" s="55">
        <f>(GH46-GI46)/GH142</f>
        <v>0</v>
      </c>
      <c r="GI130" s="55" t="e">
        <f>(GI46-GJ46)/GI142</f>
        <v>#DIV/0!</v>
      </c>
      <c r="GJ130" s="55" t="e">
        <f>(GJ46-GL46)/GJ142</f>
        <v>#DIV/0!</v>
      </c>
      <c r="GK130" s="55"/>
      <c r="GL130" s="55">
        <f>(GL46-GM46)/GL142</f>
        <v>745.298</v>
      </c>
      <c r="GM130" s="55" t="e">
        <f>(GM46-GN46)/GM142</f>
        <v>#DIV/0!</v>
      </c>
      <c r="GN130" s="55" t="e">
        <f>(GN46-GP46)/GN142</f>
        <v>#DIV/0!</v>
      </c>
      <c r="GO130" s="55"/>
      <c r="GP130" s="55">
        <f>(GP46-GQ46)/GP142</f>
        <v>12161</v>
      </c>
      <c r="GQ130" s="55" t="e">
        <f>(GQ46-GR46)/GQ142</f>
        <v>#DIV/0!</v>
      </c>
      <c r="GR130" s="55" t="e">
        <f>(GR46-GT46)/GR142</f>
        <v>#DIV/0!</v>
      </c>
      <c r="GS130" s="55"/>
      <c r="GT130" s="55">
        <f>(GT46-GU46)/GT142</f>
        <v>0</v>
      </c>
      <c r="GU130" s="55" t="e">
        <f>(GU46-GV46)/GU142</f>
        <v>#DIV/0!</v>
      </c>
      <c r="GV130" s="55" t="e">
        <f>(GV46-GX46)/GV142</f>
        <v>#DIV/0!</v>
      </c>
      <c r="GW130" s="55"/>
      <c r="GX130" s="55">
        <f>(GX46-GY46)/GX142</f>
        <v>94.898000000000025</v>
      </c>
      <c r="GY130" s="55" t="e">
        <f>(GY46-GZ46)/GY142</f>
        <v>#DIV/0!</v>
      </c>
      <c r="GZ130" s="55" t="e">
        <f>(GZ46-HB46)/GZ142</f>
        <v>#DIV/0!</v>
      </c>
      <c r="HA130" s="55"/>
      <c r="HB130" s="55">
        <f>(HB46-HC46)/HB142</f>
        <v>0</v>
      </c>
      <c r="HC130" s="55" t="e">
        <f>(HC46-HD46)/HC142</f>
        <v>#DIV/0!</v>
      </c>
      <c r="HD130" s="55" t="e">
        <f>(HD46-HF46)/HD142</f>
        <v>#DIV/0!</v>
      </c>
      <c r="HE130" s="55"/>
      <c r="HF130" s="55">
        <f>(HF46-HG46)/HF142</f>
        <v>0</v>
      </c>
      <c r="HG130" s="55">
        <f>(HG46-HH46)/HG142</f>
        <v>0</v>
      </c>
      <c r="HH130" s="55" t="e">
        <f>(HH46-HI46)/HH142</f>
        <v>#DIV/0!</v>
      </c>
    </row>
    <row r="131" spans="1:256" s="85" customFormat="1" ht="14.25" customHeight="1" x14ac:dyDescent="0.2">
      <c r="C131" s="125"/>
      <c r="D131" s="126"/>
      <c r="E131" s="92"/>
      <c r="F131" s="92"/>
      <c r="G131" s="92"/>
      <c r="H131" s="92"/>
      <c r="I131" s="92"/>
      <c r="J131" s="91"/>
      <c r="K131" s="92"/>
      <c r="N131" s="125"/>
      <c r="O131" s="126"/>
      <c r="U131" s="91"/>
      <c r="V131" s="92"/>
      <c r="AB131" s="91"/>
      <c r="AC131" s="92"/>
      <c r="AF131" s="91"/>
      <c r="AG131" s="92"/>
      <c r="AJ131" s="91"/>
      <c r="AK131" s="92"/>
      <c r="AP131" s="91"/>
      <c r="AQ131" s="92"/>
      <c r="AW131" s="91"/>
      <c r="AX131" s="92"/>
      <c r="BA131" s="91"/>
      <c r="BB131" s="92"/>
      <c r="BC131" s="92"/>
      <c r="BD131" s="92"/>
      <c r="BE131" s="91"/>
      <c r="BF131" s="92"/>
      <c r="BG131" s="92"/>
      <c r="BH131" s="92"/>
      <c r="BI131" s="92"/>
      <c r="BJ131" s="92"/>
      <c r="BK131" s="92"/>
      <c r="BL131" s="91"/>
      <c r="BM131" s="92"/>
      <c r="BN131" s="92"/>
      <c r="BO131" s="92"/>
      <c r="BP131" s="92"/>
      <c r="BQ131" s="92"/>
      <c r="BR131" s="92"/>
      <c r="BS131" s="91"/>
      <c r="BT131" s="92"/>
      <c r="BU131" s="92"/>
      <c r="BV131" s="92"/>
      <c r="BW131" s="91"/>
      <c r="BX131" s="92"/>
      <c r="CA131" s="91"/>
      <c r="CB131" s="92"/>
      <c r="CG131" s="91"/>
      <c r="CH131" s="92"/>
      <c r="CK131" s="91"/>
      <c r="CL131" s="92"/>
      <c r="CR131" s="91"/>
      <c r="CS131" s="92"/>
      <c r="CV131" s="91"/>
      <c r="CW131" s="92"/>
      <c r="DB131" s="91"/>
      <c r="DC131" s="92"/>
      <c r="DF131" s="91"/>
      <c r="DG131" s="92"/>
      <c r="DM131" s="91"/>
      <c r="DN131" s="92"/>
      <c r="DT131" s="91"/>
      <c r="DU131" s="92"/>
      <c r="DX131" s="91"/>
      <c r="DY131" s="92"/>
      <c r="EB131" s="91"/>
      <c r="EC131" s="92"/>
      <c r="EF131" s="91"/>
      <c r="EG131" s="92"/>
      <c r="EJ131" s="91"/>
      <c r="EK131" s="92"/>
      <c r="EN131" s="91"/>
      <c r="EO131" s="92"/>
      <c r="ER131" s="91"/>
      <c r="ES131" s="92"/>
      <c r="EV131" s="91"/>
      <c r="EW131" s="92"/>
      <c r="EZ131" s="91"/>
      <c r="FA131" s="92"/>
      <c r="FD131" s="91"/>
      <c r="FE131" s="92"/>
      <c r="FH131" s="91"/>
      <c r="FI131" s="92"/>
      <c r="FL131" s="91"/>
      <c r="FM131" s="92"/>
      <c r="FP131" s="91"/>
      <c r="FQ131" s="92"/>
      <c r="FT131" s="91"/>
      <c r="FU131" s="92"/>
      <c r="FX131" s="91"/>
      <c r="FY131" s="92"/>
      <c r="GB131" s="91"/>
      <c r="GC131" s="92"/>
      <c r="GF131" s="91"/>
      <c r="GG131" s="92"/>
      <c r="GJ131" s="91"/>
      <c r="GK131" s="92"/>
      <c r="GN131" s="91"/>
      <c r="GO131" s="92"/>
      <c r="GR131" s="91"/>
      <c r="GS131" s="92"/>
      <c r="GV131" s="91"/>
      <c r="GW131" s="92"/>
      <c r="GZ131" s="91"/>
      <c r="HA131" s="92"/>
      <c r="HD131" s="91"/>
      <c r="HE131" s="9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85" customFormat="1" ht="14.25" customHeight="1" x14ac:dyDescent="0.2">
      <c r="C132" s="125"/>
      <c r="D132" s="126"/>
      <c r="E132" s="92"/>
      <c r="F132" s="92"/>
      <c r="G132" s="92"/>
      <c r="H132" s="92"/>
      <c r="I132" s="92"/>
      <c r="J132" s="91"/>
      <c r="K132" s="92"/>
      <c r="N132" s="125"/>
      <c r="O132" s="126"/>
      <c r="U132" s="91"/>
      <c r="V132" s="92"/>
      <c r="AB132" s="91"/>
      <c r="AC132" s="92"/>
      <c r="AF132" s="91"/>
      <c r="AG132" s="92"/>
      <c r="AJ132" s="91"/>
      <c r="AK132" s="92"/>
      <c r="AP132" s="91"/>
      <c r="AQ132" s="92"/>
      <c r="AW132" s="91"/>
      <c r="AX132" s="92"/>
      <c r="BA132" s="91"/>
      <c r="BB132" s="92"/>
      <c r="BC132" s="92"/>
      <c r="BD132" s="92"/>
      <c r="BE132" s="91"/>
      <c r="BF132" s="92"/>
      <c r="BG132" s="92"/>
      <c r="BH132" s="92"/>
      <c r="BI132" s="92"/>
      <c r="BJ132" s="92"/>
      <c r="BK132" s="92"/>
      <c r="BL132" s="91"/>
      <c r="BM132" s="92"/>
      <c r="BN132" s="92"/>
      <c r="BO132" s="92"/>
      <c r="BP132" s="92"/>
      <c r="BQ132" s="92"/>
      <c r="BR132" s="92"/>
      <c r="BS132" s="91"/>
      <c r="BT132" s="92"/>
      <c r="BU132" s="92"/>
      <c r="BV132" s="92"/>
      <c r="BW132" s="91"/>
      <c r="BX132" s="92"/>
      <c r="CA132" s="91"/>
      <c r="CB132" s="92"/>
      <c r="CG132" s="91"/>
      <c r="CH132" s="92"/>
      <c r="CK132" s="91"/>
      <c r="CL132" s="92"/>
      <c r="CR132" s="91"/>
      <c r="CS132" s="92"/>
      <c r="CV132" s="91"/>
      <c r="CW132" s="92"/>
      <c r="DB132" s="91"/>
      <c r="DC132" s="92"/>
      <c r="DF132" s="91"/>
      <c r="DG132" s="92"/>
      <c r="DM132" s="91"/>
      <c r="DN132" s="92"/>
      <c r="DT132" s="91"/>
      <c r="DU132" s="92"/>
      <c r="DX132" s="91"/>
      <c r="DY132" s="92"/>
      <c r="EB132" s="91"/>
      <c r="EC132" s="92"/>
      <c r="EF132" s="91"/>
      <c r="EG132" s="92"/>
      <c r="EJ132" s="91"/>
      <c r="EK132" s="92"/>
      <c r="EN132" s="91"/>
      <c r="EO132" s="92"/>
      <c r="ER132" s="91"/>
      <c r="ES132" s="92"/>
      <c r="EV132" s="91"/>
      <c r="EW132" s="92"/>
      <c r="EZ132" s="91"/>
      <c r="FA132" s="92"/>
      <c r="FD132" s="91"/>
      <c r="FE132" s="92"/>
      <c r="FH132" s="91"/>
      <c r="FI132" s="92"/>
      <c r="FL132" s="91"/>
      <c r="FM132" s="92"/>
      <c r="FP132" s="91"/>
      <c r="FQ132" s="92"/>
      <c r="FT132" s="91"/>
      <c r="FU132" s="92"/>
      <c r="FX132" s="91"/>
      <c r="FY132" s="92"/>
      <c r="GB132" s="91"/>
      <c r="GC132" s="92"/>
      <c r="GF132" s="91"/>
      <c r="GG132" s="92"/>
      <c r="GJ132" s="91"/>
      <c r="GK132" s="92"/>
      <c r="GN132" s="91"/>
      <c r="GO132" s="92"/>
      <c r="GR132" s="91"/>
      <c r="GS132" s="92"/>
      <c r="GV132" s="91"/>
      <c r="GW132" s="92"/>
      <c r="GZ132" s="91"/>
      <c r="HA132" s="92"/>
      <c r="HD132" s="91"/>
      <c r="HE132" s="9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x14ac:dyDescent="0.2">
      <c r="B133" s="65"/>
      <c r="C133" s="117"/>
      <c r="D133" s="118"/>
      <c r="E133" s="150"/>
      <c r="F133" s="153"/>
      <c r="G133" s="153"/>
      <c r="H133" s="153"/>
      <c r="I133" s="153"/>
      <c r="J133" s="114"/>
      <c r="K133" s="108"/>
      <c r="L133" s="150"/>
      <c r="M133" s="150"/>
      <c r="N133" s="117"/>
      <c r="O133" s="118"/>
      <c r="P133" s="150"/>
      <c r="Q133" s="150"/>
      <c r="R133" s="150"/>
      <c r="S133" s="150"/>
      <c r="T133" s="150"/>
      <c r="U133" s="114"/>
      <c r="V133" s="108"/>
      <c r="W133" s="150"/>
      <c r="X133" s="150"/>
      <c r="Y133" s="150"/>
      <c r="Z133" s="150"/>
      <c r="AA133" s="150"/>
      <c r="AB133" s="114"/>
      <c r="AC133" s="108"/>
      <c r="AD133" s="150"/>
      <c r="AE133" s="150"/>
      <c r="AF133" s="114"/>
      <c r="AG133" s="108"/>
      <c r="AH133" s="150"/>
      <c r="AI133" s="150"/>
      <c r="AJ133" s="114"/>
      <c r="AK133" s="108"/>
      <c r="AL133" s="150"/>
      <c r="AM133" s="150"/>
      <c r="AN133" s="150"/>
      <c r="AO133" s="150"/>
      <c r="AP133" s="114"/>
      <c r="AQ133" s="108"/>
      <c r="AR133" s="150"/>
      <c r="AS133" s="150"/>
      <c r="AT133" s="150"/>
      <c r="AU133" s="150"/>
      <c r="AV133" s="150"/>
      <c r="AW133" s="114"/>
      <c r="AX133" s="108"/>
      <c r="AY133" s="150"/>
      <c r="AZ133" s="150"/>
      <c r="BA133" s="119"/>
      <c r="BB133" s="26"/>
      <c r="BC133" s="150"/>
      <c r="BD133" s="153"/>
      <c r="BE133" s="119"/>
      <c r="BF133" s="26"/>
      <c r="BG133" s="150"/>
      <c r="BH133" s="150"/>
      <c r="BI133" s="150"/>
      <c r="BJ133" s="153"/>
      <c r="BK133" s="153"/>
      <c r="BL133" s="119"/>
      <c r="BM133" s="26"/>
      <c r="BN133" s="150"/>
      <c r="BO133" s="153"/>
      <c r="BP133" s="153"/>
      <c r="BQ133" s="153"/>
      <c r="BR133" s="153"/>
      <c r="BS133" s="114"/>
      <c r="BT133" s="150"/>
      <c r="BU133" s="150"/>
      <c r="BV133" s="153"/>
      <c r="BY133" s="150"/>
      <c r="BZ133" s="150"/>
      <c r="CA133" s="114"/>
      <c r="CB133" s="108"/>
      <c r="CC133" s="150"/>
      <c r="CD133" s="150"/>
      <c r="CE133" s="150"/>
      <c r="CF133" s="150"/>
      <c r="CG133" s="114"/>
      <c r="CH133" s="108"/>
      <c r="CI133" s="150"/>
      <c r="CJ133" s="150"/>
      <c r="CK133" s="114"/>
      <c r="CL133" s="108"/>
      <c r="CM133" s="150"/>
      <c r="CN133" s="150"/>
      <c r="CO133" s="150"/>
      <c r="CP133" s="150"/>
      <c r="CQ133" s="150"/>
      <c r="CR133" s="114"/>
      <c r="CS133" s="108"/>
      <c r="CT133" s="150"/>
      <c r="CU133" s="150"/>
      <c r="CV133" s="114"/>
      <c r="CW133" s="108"/>
      <c r="CX133" s="150"/>
      <c r="CY133" s="150"/>
      <c r="CZ133" s="150"/>
      <c r="DA133" s="150"/>
      <c r="DB133" s="114"/>
      <c r="DC133" s="108"/>
      <c r="DD133" s="150"/>
      <c r="DE133" s="150"/>
      <c r="DF133" s="114"/>
      <c r="DG133" s="108"/>
      <c r="DH133" s="150"/>
      <c r="DI133" s="150"/>
      <c r="DJ133" s="150"/>
      <c r="DK133" s="150"/>
      <c r="DL133" s="150"/>
      <c r="DO133" s="150"/>
      <c r="DP133" s="150"/>
      <c r="DQ133" s="150"/>
      <c r="DR133" s="150"/>
      <c r="DS133" s="150"/>
      <c r="DT133" s="114"/>
      <c r="DU133" s="108"/>
      <c r="DV133" s="150"/>
      <c r="DW133" s="150"/>
      <c r="DX133" s="114"/>
      <c r="DY133" s="108"/>
      <c r="DZ133" s="150"/>
      <c r="EA133" s="150"/>
      <c r="ED133" s="150"/>
      <c r="EE133" s="150"/>
      <c r="EH133" s="150"/>
      <c r="EI133" s="150"/>
      <c r="EL133" s="150"/>
      <c r="EM133" s="150"/>
      <c r="EP133" s="150"/>
      <c r="EQ133" s="150"/>
      <c r="ET133" s="150"/>
      <c r="EU133" s="150"/>
      <c r="EX133" s="150"/>
      <c r="EY133" s="150"/>
      <c r="FB133" s="150"/>
      <c r="FC133" s="150"/>
      <c r="FF133" s="150"/>
      <c r="FG133" s="150"/>
      <c r="FJ133" s="150"/>
      <c r="FK133" s="150"/>
      <c r="FN133" s="150"/>
      <c r="FO133" s="150"/>
      <c r="FR133" s="150"/>
      <c r="FS133" s="150"/>
      <c r="FV133" s="150"/>
      <c r="FW133" s="150"/>
      <c r="FZ133" s="150"/>
      <c r="GA133" s="150"/>
      <c r="GD133" s="150"/>
      <c r="GE133" s="150"/>
      <c r="GH133" s="150"/>
      <c r="GI133" s="150"/>
      <c r="GL133" s="150"/>
      <c r="GM133" s="150"/>
      <c r="GP133" s="150"/>
      <c r="GQ133" s="150"/>
      <c r="GT133" s="150"/>
      <c r="GU133" s="150"/>
      <c r="GX133" s="150"/>
      <c r="GY133" s="150"/>
      <c r="HB133" s="150"/>
      <c r="HC133" s="150"/>
      <c r="HF133" s="150"/>
      <c r="HG133" s="150"/>
      <c r="HH133" s="150"/>
    </row>
    <row r="134" spans="1:256" x14ac:dyDescent="0.2">
      <c r="A134" s="74"/>
      <c r="B134" s="144"/>
      <c r="C134" s="106"/>
      <c r="D134" s="107"/>
      <c r="F134" s="110"/>
      <c r="G134" s="110"/>
      <c r="H134" s="110"/>
      <c r="I134" s="110"/>
      <c r="J134" s="114"/>
      <c r="K134" s="108"/>
      <c r="L134" s="8"/>
      <c r="M134" s="120"/>
      <c r="N134" s="106"/>
      <c r="O134" s="107"/>
      <c r="P134" s="8"/>
      <c r="Q134" s="120"/>
      <c r="R134" s="120"/>
      <c r="S134" s="120"/>
      <c r="T134" s="120"/>
      <c r="U134" s="114"/>
      <c r="V134" s="108"/>
      <c r="W134" s="8"/>
      <c r="X134" s="120"/>
      <c r="Y134" s="120"/>
      <c r="Z134" s="120"/>
      <c r="AA134" s="120"/>
      <c r="AB134" s="114"/>
      <c r="AC134" s="108"/>
      <c r="AD134" s="8"/>
      <c r="AE134" s="120"/>
      <c r="AF134" s="114"/>
      <c r="AG134" s="108"/>
      <c r="AH134" s="8"/>
      <c r="AI134" s="120"/>
      <c r="AJ134" s="114"/>
      <c r="AK134" s="108"/>
      <c r="AL134" s="8"/>
      <c r="AM134" s="120"/>
      <c r="AN134" s="120"/>
      <c r="AO134" s="120"/>
      <c r="AP134" s="114"/>
      <c r="AQ134" s="108"/>
      <c r="AR134" s="8"/>
      <c r="AS134" s="8"/>
      <c r="AT134" s="8"/>
      <c r="AU134" s="120"/>
      <c r="AV134" s="120"/>
      <c r="AW134" s="114"/>
      <c r="AX134" s="108"/>
      <c r="AY134" s="8"/>
      <c r="AZ134" s="120"/>
      <c r="BA134" s="119"/>
      <c r="BB134" s="26"/>
      <c r="BD134" s="110"/>
      <c r="BE134" s="119"/>
      <c r="BF134" s="26"/>
      <c r="BJ134" s="110"/>
      <c r="BK134" s="110"/>
      <c r="BL134" s="119"/>
      <c r="BM134" s="26"/>
      <c r="BO134" s="110"/>
      <c r="BP134" s="110"/>
      <c r="BQ134" s="110"/>
      <c r="BR134" s="110"/>
      <c r="BS134" s="114"/>
      <c r="BV134" s="110"/>
      <c r="BY134" s="8"/>
      <c r="BZ134" s="120"/>
      <c r="CA134" s="109"/>
      <c r="CB134" s="110"/>
      <c r="CC134" s="8"/>
      <c r="CD134" s="120"/>
      <c r="CE134" s="120"/>
      <c r="CF134" s="120"/>
      <c r="CG134" s="114"/>
      <c r="CH134" s="108"/>
      <c r="CI134" s="8"/>
      <c r="CJ134" s="120"/>
      <c r="CK134" s="114"/>
      <c r="CL134" s="108"/>
      <c r="CM134" s="8"/>
      <c r="CN134" s="120"/>
      <c r="CO134" s="120"/>
      <c r="CP134" s="120"/>
      <c r="CQ134" s="120"/>
      <c r="CR134" s="114"/>
      <c r="CS134" s="108"/>
      <c r="CT134" s="8"/>
      <c r="CU134" s="120"/>
      <c r="CV134" s="114"/>
      <c r="CW134" s="108"/>
      <c r="CX134" s="8"/>
      <c r="CY134" s="120"/>
      <c r="CZ134" s="120"/>
      <c r="DA134" s="120"/>
      <c r="DB134" s="114"/>
      <c r="DC134" s="108"/>
      <c r="DD134" s="8"/>
      <c r="DE134" s="120"/>
      <c r="DF134" s="114"/>
      <c r="DG134" s="108"/>
      <c r="DH134" s="8"/>
      <c r="DI134" s="120"/>
      <c r="DJ134" s="120"/>
      <c r="DK134" s="120"/>
      <c r="DL134" s="120"/>
      <c r="DO134" s="8"/>
      <c r="DP134" s="120"/>
      <c r="DQ134" s="120"/>
      <c r="DR134" s="120"/>
      <c r="DS134" s="120"/>
      <c r="DT134" s="114"/>
      <c r="DU134" s="108"/>
      <c r="DV134" s="8"/>
      <c r="DW134" s="120"/>
      <c r="DX134" s="114"/>
      <c r="DY134" s="108"/>
      <c r="DZ134" s="8"/>
      <c r="EA134" s="120"/>
      <c r="ED134" s="8"/>
      <c r="EE134" s="120"/>
      <c r="EH134" s="8"/>
      <c r="EI134" s="120"/>
      <c r="EL134" s="8"/>
      <c r="EM134" s="120"/>
      <c r="EP134" s="8"/>
      <c r="EQ134" s="120"/>
      <c r="ET134" s="8"/>
      <c r="EU134" s="120"/>
      <c r="EX134" s="8"/>
      <c r="EY134" s="120"/>
      <c r="FB134" s="8"/>
      <c r="FC134" s="120"/>
      <c r="FF134" s="8"/>
      <c r="FG134" s="120"/>
      <c r="FJ134" s="8"/>
      <c r="FK134" s="120"/>
      <c r="FN134" s="8"/>
      <c r="FO134" s="120"/>
      <c r="FR134" s="8"/>
      <c r="FS134" s="120"/>
      <c r="FV134" s="8"/>
      <c r="FW134" s="120"/>
      <c r="FZ134" s="8"/>
      <c r="GA134" s="120"/>
      <c r="GD134" s="8"/>
      <c r="GE134" s="120"/>
      <c r="GH134" s="8"/>
      <c r="GI134" s="120"/>
      <c r="GL134" s="8"/>
      <c r="GM134" s="120"/>
      <c r="GP134" s="8"/>
      <c r="GQ134" s="120"/>
      <c r="GT134" s="8"/>
      <c r="GU134" s="120"/>
      <c r="GX134" s="8"/>
      <c r="GY134" s="120"/>
      <c r="HB134" s="8"/>
      <c r="HC134" s="120"/>
      <c r="HF134" s="8"/>
      <c r="HG134" s="8"/>
      <c r="HH134" s="120"/>
    </row>
    <row r="135" spans="1:256" x14ac:dyDescent="0.2">
      <c r="A135" s="161"/>
      <c r="C135" s="106"/>
      <c r="D135" s="107"/>
      <c r="E135" s="177"/>
      <c r="F135" s="113"/>
      <c r="G135" s="113"/>
      <c r="H135" s="113"/>
      <c r="I135" s="113"/>
      <c r="J135" s="114"/>
      <c r="K135" s="108"/>
      <c r="L135" s="177"/>
      <c r="M135" s="177"/>
      <c r="N135" s="106"/>
      <c r="O135" s="107"/>
      <c r="P135" s="177"/>
      <c r="Q135" s="177"/>
      <c r="R135" s="177"/>
      <c r="S135" s="177"/>
      <c r="T135" s="177"/>
      <c r="U135" s="114"/>
      <c r="V135" s="108"/>
      <c r="W135" s="177"/>
      <c r="X135" s="177"/>
      <c r="Y135" s="177"/>
      <c r="Z135" s="177"/>
      <c r="AA135" s="177"/>
      <c r="AB135" s="114"/>
      <c r="AC135" s="108"/>
      <c r="AD135" s="177"/>
      <c r="AE135" s="177"/>
      <c r="AF135" s="114"/>
      <c r="AG135" s="108"/>
      <c r="AH135" s="177"/>
      <c r="AI135" s="177"/>
      <c r="AJ135" s="114"/>
      <c r="AK135" s="108"/>
      <c r="AL135" s="177"/>
      <c r="AM135" s="177"/>
      <c r="AN135" s="177"/>
      <c r="AO135" s="177"/>
      <c r="AP135" s="114"/>
      <c r="AQ135" s="108"/>
      <c r="AR135" s="177"/>
      <c r="AS135" s="177"/>
      <c r="AT135" s="177"/>
      <c r="AU135" s="177"/>
      <c r="AV135" s="177"/>
      <c r="AW135" s="114"/>
      <c r="AX135" s="108"/>
      <c r="AY135" s="177"/>
      <c r="AZ135" s="177"/>
      <c r="BA135" s="119"/>
      <c r="BB135" s="26"/>
      <c r="BC135" s="177"/>
      <c r="BD135" s="113"/>
      <c r="BE135" s="119"/>
      <c r="BF135" s="26"/>
      <c r="BG135" s="177"/>
      <c r="BH135" s="177"/>
      <c r="BI135" s="177"/>
      <c r="BJ135" s="113"/>
      <c r="BK135" s="113"/>
      <c r="BL135" s="119"/>
      <c r="BM135" s="26"/>
      <c r="BN135" s="113"/>
      <c r="BO135" s="113"/>
      <c r="BP135" s="113"/>
      <c r="BQ135" s="113"/>
      <c r="BR135" s="113"/>
      <c r="BS135" s="114"/>
      <c r="BT135" s="113"/>
      <c r="BU135" s="113"/>
      <c r="BV135" s="113"/>
      <c r="BY135" s="177"/>
      <c r="BZ135" s="177"/>
      <c r="CA135" s="112"/>
      <c r="CB135" s="113"/>
      <c r="CC135" s="177"/>
      <c r="CD135" s="177"/>
      <c r="CE135" s="177"/>
      <c r="CF135" s="177"/>
      <c r="CG135" s="114"/>
      <c r="CH135" s="108"/>
      <c r="CI135" s="177"/>
      <c r="CJ135" s="177"/>
      <c r="CK135" s="114"/>
      <c r="CL135" s="108"/>
      <c r="CM135" s="177"/>
      <c r="CN135" s="177"/>
      <c r="CO135" s="177"/>
      <c r="CP135" s="177"/>
      <c r="CQ135" s="177"/>
      <c r="CR135" s="114"/>
      <c r="CS135" s="108"/>
      <c r="CT135" s="177"/>
      <c r="CU135" s="177"/>
      <c r="CV135" s="114"/>
      <c r="CW135" s="108"/>
      <c r="CX135" s="177"/>
      <c r="CY135" s="177"/>
      <c r="CZ135" s="177"/>
      <c r="DA135" s="177"/>
      <c r="DB135" s="114"/>
      <c r="DC135" s="108"/>
      <c r="DD135" s="177"/>
      <c r="DE135" s="177"/>
      <c r="DF135" s="114"/>
      <c r="DG135" s="108"/>
      <c r="DH135" s="177"/>
      <c r="DI135" s="177"/>
      <c r="DJ135" s="177"/>
      <c r="DK135" s="177"/>
      <c r="DL135" s="177"/>
      <c r="DO135" s="177"/>
      <c r="DP135" s="177"/>
      <c r="DQ135" s="177"/>
      <c r="DR135" s="177"/>
      <c r="DS135" s="177"/>
      <c r="DT135" s="114"/>
      <c r="DU135" s="108"/>
      <c r="DV135" s="177"/>
      <c r="DW135" s="177"/>
      <c r="DX135" s="114"/>
      <c r="DY135" s="108"/>
      <c r="DZ135" s="177"/>
      <c r="EA135" s="177"/>
      <c r="ED135" s="177"/>
      <c r="EE135" s="177"/>
      <c r="EH135" s="177"/>
      <c r="EI135" s="177"/>
      <c r="EL135" s="177"/>
      <c r="EM135" s="177"/>
      <c r="EP135" s="177"/>
      <c r="EQ135" s="177"/>
      <c r="ET135" s="177"/>
      <c r="EU135" s="177"/>
      <c r="EX135" s="177"/>
      <c r="EY135" s="177"/>
      <c r="FB135" s="177"/>
      <c r="FC135" s="177"/>
      <c r="FF135" s="177"/>
      <c r="FG135" s="177"/>
      <c r="FJ135" s="177"/>
      <c r="FK135" s="177"/>
      <c r="FN135" s="177"/>
      <c r="FO135" s="177"/>
      <c r="FR135" s="177"/>
      <c r="FS135" s="177"/>
      <c r="FV135" s="177"/>
      <c r="FW135" s="177"/>
      <c r="FZ135" s="177"/>
      <c r="GA135" s="177"/>
      <c r="GD135" s="177"/>
      <c r="GE135" s="177"/>
      <c r="GH135" s="177"/>
      <c r="GI135" s="177"/>
      <c r="GL135" s="177"/>
      <c r="GM135" s="177"/>
      <c r="GP135" s="177"/>
      <c r="GQ135" s="177"/>
      <c r="GT135" s="177"/>
      <c r="GU135" s="177"/>
      <c r="GX135" s="177"/>
      <c r="GY135" s="177"/>
      <c r="HB135" s="177"/>
      <c r="HC135" s="177"/>
      <c r="HF135" s="177"/>
      <c r="HG135" s="177"/>
      <c r="HH135" s="177"/>
    </row>
    <row r="136" spans="1:256" s="27" customFormat="1" ht="15.75" x14ac:dyDescent="0.25">
      <c r="A136" s="145" t="s">
        <v>307</v>
      </c>
      <c r="B136" s="178"/>
      <c r="C136" s="179"/>
      <c r="D136" s="179"/>
      <c r="E136" s="180"/>
      <c r="F136" s="180"/>
      <c r="G136" s="180"/>
      <c r="H136" s="180"/>
      <c r="I136" s="180"/>
      <c r="J136" s="181"/>
      <c r="K136" s="181"/>
      <c r="L136" s="180"/>
      <c r="M136" s="180"/>
      <c r="N136" s="179"/>
      <c r="O136" s="179"/>
      <c r="P136" s="180"/>
      <c r="Q136" s="180"/>
      <c r="R136" s="180"/>
      <c r="S136" s="180"/>
      <c r="T136" s="180"/>
      <c r="U136" s="181"/>
      <c r="V136" s="181"/>
      <c r="W136" s="180"/>
      <c r="X136" s="180"/>
      <c r="Y136" s="180"/>
      <c r="Z136" s="180"/>
      <c r="AA136" s="180"/>
      <c r="AB136" s="181"/>
      <c r="AC136" s="181"/>
      <c r="AD136" s="180"/>
      <c r="AE136" s="180"/>
      <c r="AF136" s="181"/>
      <c r="AG136" s="181"/>
      <c r="AH136" s="180"/>
      <c r="AI136" s="180"/>
      <c r="AJ136" s="181"/>
      <c r="AK136" s="181"/>
      <c r="AL136" s="180"/>
      <c r="AM136" s="180"/>
      <c r="AN136" s="180"/>
      <c r="AO136" s="180"/>
      <c r="AP136" s="181"/>
      <c r="AQ136" s="181"/>
      <c r="AR136" s="180"/>
      <c r="AS136" s="180"/>
      <c r="AT136" s="180"/>
      <c r="AU136" s="180"/>
      <c r="AV136" s="180"/>
      <c r="AW136" s="181"/>
      <c r="AX136" s="181"/>
      <c r="AY136" s="180"/>
      <c r="AZ136" s="180"/>
      <c r="BA136" s="25"/>
      <c r="BB136" s="25"/>
      <c r="BC136" s="180"/>
      <c r="BD136" s="180"/>
      <c r="BE136" s="25"/>
      <c r="BF136" s="25"/>
      <c r="BG136" s="180"/>
      <c r="BH136" s="180"/>
      <c r="BI136" s="180"/>
      <c r="BJ136" s="180"/>
      <c r="BK136" s="180"/>
      <c r="BL136" s="25"/>
      <c r="BM136" s="25"/>
      <c r="BN136" s="180"/>
      <c r="BO136" s="180"/>
      <c r="BP136" s="180"/>
      <c r="BQ136" s="180"/>
      <c r="BR136" s="180"/>
      <c r="BS136" s="181"/>
      <c r="BT136" s="180"/>
      <c r="BU136" s="180"/>
      <c r="BV136" s="180"/>
      <c r="BW136" s="23"/>
      <c r="BX136" s="23"/>
      <c r="BY136" s="180"/>
      <c r="BZ136" s="180"/>
      <c r="CA136" s="180"/>
      <c r="CB136" s="180"/>
      <c r="CC136" s="180"/>
      <c r="CD136" s="180"/>
      <c r="CE136" s="180"/>
      <c r="CF136" s="180"/>
      <c r="CG136" s="181"/>
      <c r="CH136" s="181"/>
      <c r="CI136" s="180"/>
      <c r="CJ136" s="180"/>
      <c r="CK136" s="181"/>
      <c r="CL136" s="181"/>
      <c r="CM136" s="180"/>
      <c r="CN136" s="180"/>
      <c r="CO136" s="180"/>
      <c r="CP136" s="180"/>
      <c r="CQ136" s="180"/>
      <c r="CR136" s="181"/>
      <c r="CS136" s="181"/>
      <c r="CT136" s="180"/>
      <c r="CU136" s="180"/>
      <c r="CV136" s="181"/>
      <c r="CW136" s="181"/>
      <c r="CX136" s="180"/>
      <c r="CY136" s="180"/>
      <c r="CZ136" s="180"/>
      <c r="DA136" s="180"/>
      <c r="DB136" s="181"/>
      <c r="DC136" s="181"/>
      <c r="DD136" s="180"/>
      <c r="DE136" s="180"/>
      <c r="DF136" s="181"/>
      <c r="DG136" s="181"/>
      <c r="DH136" s="180"/>
      <c r="DI136" s="180"/>
      <c r="DJ136" s="180"/>
      <c r="DK136" s="180"/>
      <c r="DL136" s="180"/>
      <c r="DM136" s="23"/>
      <c r="DN136" s="23"/>
      <c r="DO136" s="180"/>
      <c r="DP136" s="180"/>
      <c r="DQ136" s="180"/>
      <c r="DR136" s="180"/>
      <c r="DS136" s="180"/>
      <c r="DT136" s="181"/>
      <c r="DU136" s="181"/>
      <c r="DV136" s="180"/>
      <c r="DW136" s="180"/>
      <c r="DX136" s="181"/>
      <c r="DY136" s="181"/>
      <c r="DZ136" s="180"/>
      <c r="EA136" s="180"/>
      <c r="EB136" s="23"/>
      <c r="EC136" s="23"/>
      <c r="ED136" s="180"/>
      <c r="EE136" s="180"/>
      <c r="EF136" s="23"/>
      <c r="EG136" s="23"/>
      <c r="EH136" s="180"/>
      <c r="EI136" s="180"/>
      <c r="EJ136" s="23"/>
      <c r="EK136" s="23"/>
      <c r="EL136" s="180"/>
      <c r="EM136" s="180"/>
      <c r="EN136" s="23"/>
      <c r="EO136" s="23"/>
      <c r="EP136" s="180"/>
      <c r="EQ136" s="180"/>
      <c r="ER136" s="23"/>
      <c r="ES136" s="23"/>
      <c r="ET136" s="180"/>
      <c r="EU136" s="180"/>
      <c r="EV136" s="23"/>
      <c r="EW136" s="23"/>
      <c r="EX136" s="180"/>
      <c r="EY136" s="180"/>
      <c r="EZ136" s="23"/>
      <c r="FA136" s="23"/>
      <c r="FB136" s="180"/>
      <c r="FC136" s="180"/>
      <c r="FD136" s="23"/>
      <c r="FE136" s="23"/>
      <c r="FF136" s="180"/>
      <c r="FG136" s="180"/>
      <c r="FH136" s="23"/>
      <c r="FI136" s="23"/>
      <c r="FJ136" s="180"/>
      <c r="FK136" s="180"/>
      <c r="FL136" s="23"/>
      <c r="FM136" s="23"/>
      <c r="FN136" s="180"/>
      <c r="FO136" s="180"/>
      <c r="FP136" s="23"/>
      <c r="FQ136" s="23"/>
      <c r="FR136" s="180"/>
      <c r="FS136" s="180"/>
      <c r="FT136" s="23"/>
      <c r="FU136" s="23"/>
      <c r="FV136" s="180"/>
      <c r="FW136" s="180"/>
      <c r="FX136" s="23"/>
      <c r="FY136" s="23"/>
      <c r="FZ136" s="180"/>
      <c r="GA136" s="180"/>
      <c r="GB136" s="23"/>
      <c r="GC136" s="23"/>
      <c r="GD136" s="180"/>
      <c r="GE136" s="180"/>
      <c r="GF136" s="23"/>
      <c r="GG136" s="23"/>
      <c r="GH136" s="180"/>
      <c r="GI136" s="180"/>
      <c r="GJ136" s="23"/>
      <c r="GK136" s="23"/>
      <c r="GL136" s="180"/>
      <c r="GM136" s="180"/>
      <c r="GN136" s="23"/>
      <c r="GO136" s="23"/>
      <c r="GP136" s="180"/>
      <c r="GQ136" s="180"/>
      <c r="GR136" s="23"/>
      <c r="GS136" s="23"/>
      <c r="GT136" s="180"/>
      <c r="GU136" s="180"/>
      <c r="GV136" s="23"/>
      <c r="GW136" s="23"/>
      <c r="GX136" s="180"/>
      <c r="GY136" s="180"/>
      <c r="GZ136" s="23"/>
      <c r="HA136" s="23"/>
      <c r="HB136" s="180"/>
      <c r="HC136" s="180"/>
      <c r="HD136" s="23"/>
      <c r="HE136" s="23"/>
      <c r="HF136" s="180"/>
      <c r="HG136" s="180"/>
      <c r="HH136" s="180"/>
    </row>
    <row r="137" spans="1:256" x14ac:dyDescent="0.2">
      <c r="A137" s="161"/>
      <c r="C137" s="106"/>
      <c r="D137" s="107"/>
      <c r="E137" s="177"/>
      <c r="F137" s="113"/>
      <c r="G137" s="113"/>
      <c r="H137" s="113"/>
      <c r="I137" s="113"/>
      <c r="J137" s="114"/>
      <c r="K137" s="108"/>
      <c r="L137" s="177"/>
      <c r="M137" s="177"/>
      <c r="N137" s="106"/>
      <c r="O137" s="107"/>
      <c r="P137" s="177"/>
      <c r="Q137" s="177"/>
      <c r="R137" s="177"/>
      <c r="S137" s="177"/>
      <c r="T137" s="177"/>
      <c r="U137" s="114"/>
      <c r="V137" s="108"/>
      <c r="W137" s="177"/>
      <c r="X137" s="177"/>
      <c r="Y137" s="177"/>
      <c r="Z137" s="177"/>
      <c r="AA137" s="177"/>
      <c r="AB137" s="114"/>
      <c r="AC137" s="108"/>
      <c r="AD137" s="177"/>
      <c r="AE137" s="177"/>
      <c r="AF137" s="114"/>
      <c r="AG137" s="108"/>
      <c r="AH137" s="177"/>
      <c r="AI137" s="177"/>
      <c r="AJ137" s="114"/>
      <c r="AK137" s="108"/>
      <c r="AL137" s="177"/>
      <c r="AM137" s="177"/>
      <c r="AN137" s="177"/>
      <c r="AO137" s="177"/>
      <c r="AP137" s="114"/>
      <c r="AQ137" s="108"/>
      <c r="AR137" s="177"/>
      <c r="AS137" s="177"/>
      <c r="AT137" s="177"/>
      <c r="AU137" s="177"/>
      <c r="AV137" s="177"/>
      <c r="AW137" s="114"/>
      <c r="AX137" s="108"/>
      <c r="AY137" s="177"/>
      <c r="AZ137" s="177"/>
      <c r="BA137" s="119"/>
      <c r="BB137" s="26"/>
      <c r="BC137" s="177"/>
      <c r="BD137" s="113"/>
      <c r="BE137" s="119"/>
      <c r="BF137" s="26"/>
      <c r="BG137" s="177"/>
      <c r="BH137" s="177"/>
      <c r="BI137" s="177"/>
      <c r="BJ137" s="113"/>
      <c r="BK137" s="113"/>
      <c r="BL137" s="119"/>
      <c r="BM137" s="26"/>
      <c r="BN137" s="113"/>
      <c r="BO137" s="113"/>
      <c r="BP137" s="113"/>
      <c r="BQ137" s="113"/>
      <c r="BR137" s="113"/>
      <c r="BS137" s="114"/>
      <c r="BT137" s="113"/>
      <c r="BU137" s="113"/>
      <c r="BV137" s="113"/>
      <c r="BY137" s="177"/>
      <c r="BZ137" s="177"/>
      <c r="CA137" s="112"/>
      <c r="CB137" s="113"/>
      <c r="CC137" s="177"/>
      <c r="CD137" s="177"/>
      <c r="CE137" s="177"/>
      <c r="CF137" s="177"/>
      <c r="CG137" s="114"/>
      <c r="CH137" s="108"/>
      <c r="CI137" s="177"/>
      <c r="CJ137" s="177"/>
      <c r="CK137" s="114"/>
      <c r="CL137" s="108"/>
      <c r="CM137" s="177"/>
      <c r="CN137" s="177"/>
      <c r="CO137" s="177"/>
      <c r="CP137" s="177"/>
      <c r="CQ137" s="177"/>
      <c r="CR137" s="114"/>
      <c r="CS137" s="108"/>
      <c r="CT137" s="177"/>
      <c r="CU137" s="177"/>
      <c r="CV137" s="114"/>
      <c r="CW137" s="108"/>
      <c r="CX137" s="177"/>
      <c r="CY137" s="177"/>
      <c r="CZ137" s="177"/>
      <c r="DA137" s="177"/>
      <c r="DB137" s="114"/>
      <c r="DC137" s="108"/>
      <c r="DD137" s="177"/>
      <c r="DE137" s="177"/>
      <c r="DF137" s="114"/>
      <c r="DG137" s="108"/>
      <c r="DH137" s="177"/>
      <c r="DI137" s="177"/>
      <c r="DJ137" s="177"/>
      <c r="DK137" s="177"/>
      <c r="DL137" s="177"/>
      <c r="DO137" s="177"/>
      <c r="DP137" s="177"/>
      <c r="DQ137" s="177"/>
      <c r="DR137" s="177"/>
      <c r="DS137" s="177"/>
      <c r="DT137" s="114"/>
      <c r="DU137" s="108"/>
      <c r="DV137" s="177"/>
      <c r="DW137" s="177"/>
      <c r="DX137" s="114"/>
      <c r="DY137" s="108"/>
      <c r="DZ137" s="177"/>
      <c r="EA137" s="177"/>
      <c r="ED137" s="177"/>
      <c r="EE137" s="177"/>
      <c r="EH137" s="177"/>
      <c r="EI137" s="177"/>
      <c r="EL137" s="177"/>
      <c r="EM137" s="177"/>
      <c r="EP137" s="177"/>
      <c r="EQ137" s="177"/>
      <c r="ET137" s="177"/>
      <c r="EU137" s="177"/>
      <c r="EX137" s="177"/>
      <c r="EY137" s="177"/>
      <c r="FB137" s="177"/>
      <c r="FC137" s="177"/>
      <c r="FF137" s="177"/>
      <c r="FG137" s="177"/>
      <c r="FJ137" s="177"/>
      <c r="FK137" s="177"/>
      <c r="FN137" s="177"/>
      <c r="FO137" s="177"/>
      <c r="FR137" s="177"/>
      <c r="FS137" s="177"/>
      <c r="FV137" s="177"/>
      <c r="FW137" s="177"/>
      <c r="FZ137" s="177"/>
      <c r="GA137" s="177"/>
      <c r="GD137" s="177"/>
      <c r="GE137" s="177"/>
      <c r="GH137" s="177"/>
      <c r="GI137" s="177"/>
      <c r="GL137" s="177"/>
      <c r="GM137" s="177"/>
      <c r="GP137" s="177"/>
      <c r="GQ137" s="177"/>
      <c r="GT137" s="177"/>
      <c r="GU137" s="177"/>
      <c r="GX137" s="177"/>
      <c r="GY137" s="177"/>
      <c r="HB137" s="177"/>
      <c r="HC137" s="177"/>
      <c r="HF137" s="177"/>
      <c r="HG137" s="177"/>
      <c r="HH137" s="177"/>
    </row>
    <row r="138" spans="1:256" x14ac:dyDescent="0.2">
      <c r="A138" s="161"/>
      <c r="C138" s="106"/>
      <c r="D138" s="107"/>
      <c r="E138" s="177"/>
      <c r="F138" s="113"/>
      <c r="G138" s="113"/>
      <c r="H138" s="113"/>
      <c r="I138" s="113"/>
      <c r="J138" s="114"/>
      <c r="K138" s="108"/>
      <c r="L138" s="177"/>
      <c r="M138" s="177"/>
      <c r="N138" s="106"/>
      <c r="O138" s="107"/>
      <c r="P138" s="177"/>
      <c r="Q138" s="177"/>
      <c r="R138" s="177"/>
      <c r="S138" s="177"/>
      <c r="T138" s="177"/>
      <c r="U138" s="114"/>
      <c r="V138" s="108"/>
      <c r="W138" s="177"/>
      <c r="X138" s="177"/>
      <c r="Y138" s="177"/>
      <c r="Z138" s="177"/>
      <c r="AA138" s="177"/>
      <c r="AB138" s="114"/>
      <c r="AC138" s="108"/>
      <c r="AD138" s="177"/>
      <c r="AE138" s="177"/>
      <c r="AF138" s="114"/>
      <c r="AG138" s="108"/>
      <c r="AH138" s="177"/>
      <c r="AI138" s="177"/>
      <c r="AJ138" s="114"/>
      <c r="AK138" s="108"/>
      <c r="AL138" s="177"/>
      <c r="AM138" s="177"/>
      <c r="AN138" s="177"/>
      <c r="AO138" s="177"/>
      <c r="AP138" s="114"/>
      <c r="AQ138" s="108"/>
      <c r="AR138" s="177"/>
      <c r="AS138" s="177"/>
      <c r="AT138" s="177"/>
      <c r="AU138" s="177"/>
      <c r="AV138" s="177"/>
      <c r="AW138" s="114"/>
      <c r="AX138" s="108"/>
      <c r="AY138" s="177"/>
      <c r="AZ138" s="177"/>
      <c r="BA138" s="119"/>
      <c r="BB138" s="26"/>
      <c r="BC138" s="177"/>
      <c r="BD138" s="113"/>
      <c r="BE138" s="119"/>
      <c r="BF138" s="26"/>
      <c r="BG138" s="177"/>
      <c r="BH138" s="177"/>
      <c r="BI138" s="177"/>
      <c r="BJ138" s="113"/>
      <c r="BK138" s="113"/>
      <c r="BL138" s="119"/>
      <c r="BM138" s="26"/>
      <c r="BN138" s="113"/>
      <c r="BO138" s="113"/>
      <c r="BP138" s="113"/>
      <c r="BQ138" s="113"/>
      <c r="BR138" s="113"/>
      <c r="BS138" s="114"/>
      <c r="BT138" s="113"/>
      <c r="BU138" s="113"/>
      <c r="BV138" s="113"/>
      <c r="BY138" s="177"/>
      <c r="BZ138" s="177"/>
      <c r="CA138" s="112"/>
      <c r="CB138" s="113"/>
      <c r="CC138" s="177"/>
      <c r="CD138" s="177"/>
      <c r="CE138" s="177"/>
      <c r="CF138" s="177"/>
      <c r="CG138" s="114"/>
      <c r="CH138" s="108"/>
      <c r="CI138" s="177"/>
      <c r="CJ138" s="177"/>
      <c r="CK138" s="114"/>
      <c r="CL138" s="108"/>
      <c r="CM138" s="177"/>
      <c r="CN138" s="177"/>
      <c r="CO138" s="177"/>
      <c r="CP138" s="177"/>
      <c r="CQ138" s="177"/>
      <c r="CR138" s="114"/>
      <c r="CS138" s="108"/>
      <c r="CT138" s="177"/>
      <c r="CU138" s="177"/>
      <c r="CV138" s="114"/>
      <c r="CW138" s="108"/>
      <c r="CX138" s="177"/>
      <c r="CY138" s="177"/>
      <c r="CZ138" s="177"/>
      <c r="DA138" s="177"/>
      <c r="DB138" s="114"/>
      <c r="DC138" s="108"/>
      <c r="DD138" s="177"/>
      <c r="DE138" s="177"/>
      <c r="DF138" s="114"/>
      <c r="DG138" s="108"/>
      <c r="DH138" s="177"/>
      <c r="DI138" s="177"/>
      <c r="DJ138" s="177"/>
      <c r="DK138" s="177"/>
      <c r="DL138" s="177"/>
      <c r="DO138" s="177"/>
      <c r="DP138" s="177"/>
      <c r="DQ138" s="177"/>
      <c r="DR138" s="177"/>
      <c r="DS138" s="177"/>
      <c r="DT138" s="114"/>
      <c r="DU138" s="108"/>
      <c r="DV138" s="177"/>
      <c r="DW138" s="177"/>
      <c r="DX138" s="114"/>
      <c r="DY138" s="108"/>
      <c r="DZ138" s="177"/>
      <c r="EA138" s="177"/>
      <c r="ED138" s="177"/>
      <c r="EE138" s="177"/>
      <c r="EH138" s="177"/>
      <c r="EI138" s="177"/>
      <c r="EL138" s="177"/>
      <c r="EM138" s="177"/>
      <c r="EP138" s="177"/>
      <c r="EQ138" s="177"/>
      <c r="ET138" s="177"/>
      <c r="EU138" s="177"/>
      <c r="EX138" s="177"/>
      <c r="EY138" s="177"/>
      <c r="FB138" s="177"/>
      <c r="FC138" s="177"/>
      <c r="FF138" s="177"/>
      <c r="FG138" s="177"/>
      <c r="FJ138" s="177"/>
      <c r="FK138" s="177"/>
      <c r="FN138" s="177"/>
      <c r="FO138" s="177"/>
      <c r="FR138" s="177"/>
      <c r="FS138" s="177"/>
      <c r="FV138" s="177"/>
      <c r="FW138" s="177"/>
      <c r="FZ138" s="177"/>
      <c r="GA138" s="177"/>
      <c r="GD138" s="177"/>
      <c r="GE138" s="177"/>
      <c r="GH138" s="177"/>
      <c r="GI138" s="177"/>
      <c r="GL138" s="177"/>
      <c r="GM138" s="177"/>
      <c r="GP138" s="177"/>
      <c r="GQ138" s="177"/>
      <c r="GT138" s="177"/>
      <c r="GU138" s="177"/>
      <c r="GX138" s="177"/>
      <c r="GY138" s="177"/>
      <c r="HB138" s="177"/>
      <c r="HC138" s="177"/>
      <c r="HF138" s="177"/>
      <c r="HG138" s="177"/>
      <c r="HH138" s="177"/>
    </row>
    <row r="139" spans="1:256" s="186" customFormat="1" x14ac:dyDescent="0.2">
      <c r="A139" s="182" t="s">
        <v>308</v>
      </c>
      <c r="B139" s="183"/>
      <c r="C139" s="184"/>
      <c r="D139" s="185"/>
      <c r="E139" s="182">
        <v>2004.25</v>
      </c>
      <c r="F139" s="182">
        <v>2003.25</v>
      </c>
      <c r="G139" s="182">
        <v>2002.25</v>
      </c>
      <c r="H139" s="182">
        <v>2001.25</v>
      </c>
      <c r="I139" s="182"/>
      <c r="J139" s="184"/>
      <c r="K139" s="185"/>
      <c r="L139" s="182">
        <v>2004.25</v>
      </c>
      <c r="M139" s="182"/>
      <c r="N139" s="184"/>
      <c r="O139" s="185"/>
      <c r="P139" s="182">
        <v>2004.5</v>
      </c>
      <c r="Q139" s="182">
        <v>2003.5</v>
      </c>
      <c r="R139" s="182">
        <v>2002.5</v>
      </c>
      <c r="S139" s="182">
        <v>2001.5</v>
      </c>
      <c r="T139" s="182"/>
      <c r="U139" s="184"/>
      <c r="V139" s="185"/>
      <c r="W139" s="182">
        <v>2004.5</v>
      </c>
      <c r="X139" s="182">
        <v>2003.5</v>
      </c>
      <c r="Y139" s="182">
        <v>2002.5</v>
      </c>
      <c r="Z139" s="182">
        <v>2001.5</v>
      </c>
      <c r="AA139" s="182"/>
      <c r="AB139" s="184"/>
      <c r="AC139" s="185"/>
      <c r="AD139" s="182">
        <v>2004.25</v>
      </c>
      <c r="AE139" s="182"/>
      <c r="AF139" s="184"/>
      <c r="AG139" s="185"/>
      <c r="AH139" s="182">
        <v>2004.25</v>
      </c>
      <c r="AI139" s="182"/>
      <c r="AJ139" s="184"/>
      <c r="AK139" s="185"/>
      <c r="AL139" s="182">
        <v>2004.25</v>
      </c>
      <c r="AM139" s="182"/>
      <c r="AN139" s="182"/>
      <c r="AO139" s="182"/>
      <c r="AP139" s="184"/>
      <c r="AQ139" s="185"/>
      <c r="AR139" s="182">
        <v>2004.25</v>
      </c>
      <c r="AS139" s="182">
        <v>2003.25</v>
      </c>
      <c r="AT139" s="182">
        <v>2002.25</v>
      </c>
      <c r="AU139" s="182">
        <v>2001.25</v>
      </c>
      <c r="AV139" s="182"/>
      <c r="AW139" s="184"/>
      <c r="AX139" s="185"/>
      <c r="AY139" s="182">
        <v>2004.5</v>
      </c>
      <c r="AZ139" s="182"/>
      <c r="BA139" s="184"/>
      <c r="BB139" s="185"/>
      <c r="BC139" s="182">
        <v>2003.25</v>
      </c>
      <c r="BD139" s="185"/>
      <c r="BE139" s="184"/>
      <c r="BF139" s="185"/>
      <c r="BG139" s="182">
        <v>2004.5</v>
      </c>
      <c r="BH139" s="182">
        <v>2003.5</v>
      </c>
      <c r="BI139" s="182">
        <v>2002.5</v>
      </c>
      <c r="BJ139" s="182">
        <v>2001.4166666666667</v>
      </c>
      <c r="BK139" s="185"/>
      <c r="BL139" s="184"/>
      <c r="BM139" s="185"/>
      <c r="BN139" s="182">
        <v>2004.25</v>
      </c>
      <c r="BO139" s="182">
        <v>2003.25</v>
      </c>
      <c r="BP139" s="182">
        <v>2002.25</v>
      </c>
      <c r="BQ139" s="182">
        <v>2001.25</v>
      </c>
      <c r="BR139" s="185"/>
      <c r="BS139" s="184"/>
      <c r="BT139" s="182"/>
      <c r="BU139" s="182">
        <v>2004.25</v>
      </c>
      <c r="BV139" s="185"/>
      <c r="BW139" s="184"/>
      <c r="BX139" s="185"/>
      <c r="BY139" s="182">
        <v>2003.25</v>
      </c>
      <c r="BZ139" s="182"/>
      <c r="CA139" s="184"/>
      <c r="CB139" s="185"/>
      <c r="CC139" s="182">
        <v>2004.25</v>
      </c>
      <c r="CD139" s="182">
        <v>2003.25</v>
      </c>
      <c r="CE139" s="182">
        <v>2002.6666666666667</v>
      </c>
      <c r="CF139" s="182"/>
      <c r="CG139" s="184"/>
      <c r="CH139" s="185"/>
      <c r="CI139" s="182">
        <v>2005</v>
      </c>
      <c r="CJ139" s="182"/>
      <c r="CK139" s="184"/>
      <c r="CL139" s="185"/>
      <c r="CM139" s="182">
        <v>2004.25</v>
      </c>
      <c r="CN139" s="182"/>
      <c r="CO139" s="182"/>
      <c r="CP139" s="182"/>
      <c r="CQ139" s="182"/>
      <c r="CR139" s="184"/>
      <c r="CS139" s="185"/>
      <c r="CT139" s="182">
        <v>2004.25</v>
      </c>
      <c r="CU139" s="182"/>
      <c r="CV139" s="184"/>
      <c r="CW139" s="185"/>
      <c r="CX139" s="182">
        <v>2004.25</v>
      </c>
      <c r="CY139" s="182"/>
      <c r="CZ139" s="182"/>
      <c r="DA139" s="182"/>
      <c r="DB139" s="184"/>
      <c r="DC139" s="185"/>
      <c r="DD139" s="182">
        <v>2004.25</v>
      </c>
      <c r="DE139" s="182"/>
      <c r="DF139" s="184"/>
      <c r="DG139" s="185"/>
      <c r="DH139" s="182">
        <v>2004.25</v>
      </c>
      <c r="DI139" s="182"/>
      <c r="DJ139" s="182"/>
      <c r="DK139" s="182"/>
      <c r="DL139" s="182"/>
      <c r="DM139" s="184"/>
      <c r="DN139" s="185"/>
      <c r="DO139" s="182">
        <v>2004.25</v>
      </c>
      <c r="DP139" s="182"/>
      <c r="DQ139" s="182"/>
      <c r="DR139" s="182"/>
      <c r="DS139" s="182"/>
      <c r="DT139" s="184"/>
      <c r="DU139" s="185"/>
      <c r="DV139" s="182">
        <v>2004.25</v>
      </c>
      <c r="DW139" s="182"/>
      <c r="DX139" s="184"/>
      <c r="DY139" s="185"/>
      <c r="DZ139" s="182">
        <v>2004.5</v>
      </c>
      <c r="EA139" s="182"/>
      <c r="EB139" s="184"/>
      <c r="EC139" s="185"/>
      <c r="ED139" s="182">
        <v>2004.25</v>
      </c>
      <c r="EE139" s="182"/>
      <c r="EF139" s="184"/>
      <c r="EG139" s="185"/>
      <c r="EH139" s="182">
        <v>2004.5</v>
      </c>
      <c r="EI139" s="182"/>
      <c r="EJ139" s="184"/>
      <c r="EK139" s="185"/>
      <c r="EL139" s="182">
        <v>2004.5</v>
      </c>
      <c r="EM139" s="182"/>
      <c r="EN139" s="184"/>
      <c r="EO139" s="185"/>
      <c r="EP139" s="182">
        <v>2004.25</v>
      </c>
      <c r="EQ139" s="182"/>
      <c r="ER139" s="184"/>
      <c r="ES139" s="185"/>
      <c r="ET139" s="182">
        <v>2004.25</v>
      </c>
      <c r="EU139" s="182"/>
      <c r="EV139" s="184"/>
      <c r="EW139" s="185"/>
      <c r="EX139" s="182">
        <v>2004.25</v>
      </c>
      <c r="EY139" s="182"/>
      <c r="EZ139" s="184"/>
      <c r="FA139" s="185"/>
      <c r="FB139" s="182">
        <v>2004.75</v>
      </c>
      <c r="FC139" s="182"/>
      <c r="FD139" s="184"/>
      <c r="FE139" s="185"/>
      <c r="FF139" s="182">
        <v>2004.25</v>
      </c>
      <c r="FG139" s="182"/>
      <c r="FH139" s="184"/>
      <c r="FI139" s="185"/>
      <c r="FJ139" s="182">
        <v>2004.25</v>
      </c>
      <c r="FK139" s="182"/>
      <c r="FL139" s="184"/>
      <c r="FM139" s="185"/>
      <c r="FN139" s="182">
        <v>2004.5</v>
      </c>
      <c r="FO139" s="182"/>
      <c r="FP139" s="184"/>
      <c r="FQ139" s="185"/>
      <c r="FR139" s="182">
        <v>2004.5</v>
      </c>
      <c r="FS139" s="182"/>
      <c r="FT139" s="184"/>
      <c r="FU139" s="185"/>
      <c r="FV139" s="182">
        <v>2004.5</v>
      </c>
      <c r="FW139" s="182"/>
      <c r="FX139" s="184"/>
      <c r="FY139" s="185"/>
      <c r="FZ139" s="182">
        <v>2004.25</v>
      </c>
      <c r="GA139" s="182"/>
      <c r="GB139" s="184"/>
      <c r="GC139" s="185"/>
      <c r="GD139" s="182">
        <v>2004.25</v>
      </c>
      <c r="GE139" s="182"/>
      <c r="GF139" s="184"/>
      <c r="GG139" s="185"/>
      <c r="GH139" s="182">
        <v>2003.25</v>
      </c>
      <c r="GI139" s="182"/>
      <c r="GJ139" s="184"/>
      <c r="GK139" s="185"/>
      <c r="GL139" s="182">
        <v>2004.25</v>
      </c>
      <c r="GM139" s="182"/>
      <c r="GN139" s="184"/>
      <c r="GO139" s="185"/>
      <c r="GP139" s="182">
        <v>2003.25</v>
      </c>
      <c r="GQ139" s="182"/>
      <c r="GR139" s="184"/>
      <c r="GS139" s="185"/>
      <c r="GT139" s="182">
        <v>2004.25</v>
      </c>
      <c r="GU139" s="182"/>
      <c r="GV139" s="184"/>
      <c r="GW139" s="185"/>
      <c r="GX139" s="182">
        <v>2004.6666666666667</v>
      </c>
      <c r="GY139" s="182"/>
      <c r="GZ139" s="184"/>
      <c r="HA139" s="185"/>
      <c r="HB139" s="182">
        <v>2004.5</v>
      </c>
      <c r="HC139" s="182"/>
      <c r="HD139" s="184"/>
      <c r="HE139" s="185"/>
      <c r="HF139" s="182">
        <v>2003.25</v>
      </c>
      <c r="HG139" s="182">
        <v>2002.25</v>
      </c>
      <c r="HH139" s="182"/>
    </row>
    <row r="140" spans="1:256" s="186" customFormat="1" x14ac:dyDescent="0.2">
      <c r="A140" s="182" t="s">
        <v>309</v>
      </c>
      <c r="B140" s="183"/>
      <c r="C140" s="184"/>
      <c r="D140" s="185"/>
      <c r="E140" s="182">
        <v>2003.75</v>
      </c>
      <c r="F140" s="182">
        <v>2002.75</v>
      </c>
      <c r="G140" s="182">
        <v>2001.75</v>
      </c>
      <c r="H140" s="182">
        <v>2000.75</v>
      </c>
      <c r="I140" s="182"/>
      <c r="J140" s="184"/>
      <c r="K140" s="185"/>
      <c r="L140" s="182">
        <v>2003.75</v>
      </c>
      <c r="M140" s="182"/>
      <c r="N140" s="184"/>
      <c r="O140" s="185"/>
      <c r="P140" s="182">
        <v>2004</v>
      </c>
      <c r="Q140" s="182">
        <v>2003</v>
      </c>
      <c r="R140" s="182">
        <v>2002</v>
      </c>
      <c r="S140" s="182">
        <v>2001</v>
      </c>
      <c r="T140" s="182"/>
      <c r="U140" s="184"/>
      <c r="V140" s="185"/>
      <c r="W140" s="182">
        <v>2004</v>
      </c>
      <c r="X140" s="182">
        <v>2003</v>
      </c>
      <c r="Y140" s="182">
        <v>2002</v>
      </c>
      <c r="Z140" s="182">
        <v>2001</v>
      </c>
      <c r="AA140" s="182"/>
      <c r="AB140" s="184"/>
      <c r="AC140" s="185"/>
      <c r="AD140" s="182">
        <v>2003.75</v>
      </c>
      <c r="AE140" s="182"/>
      <c r="AF140" s="184"/>
      <c r="AG140" s="185"/>
      <c r="AH140" s="182">
        <v>2003.75</v>
      </c>
      <c r="AI140" s="182"/>
      <c r="AJ140" s="184"/>
      <c r="AK140" s="185"/>
      <c r="AL140" s="182">
        <v>2003.75</v>
      </c>
      <c r="AM140" s="182"/>
      <c r="AN140" s="182"/>
      <c r="AO140" s="182"/>
      <c r="AP140" s="184"/>
      <c r="AQ140" s="185"/>
      <c r="AR140" s="182">
        <v>2003.75</v>
      </c>
      <c r="AS140" s="182">
        <v>2002.75</v>
      </c>
      <c r="AT140" s="182">
        <v>2001.75</v>
      </c>
      <c r="AU140" s="182">
        <v>2000.75</v>
      </c>
      <c r="AV140" s="182"/>
      <c r="AW140" s="184"/>
      <c r="AX140" s="185"/>
      <c r="AY140" s="182">
        <v>2004</v>
      </c>
      <c r="AZ140" s="182"/>
      <c r="BA140" s="184"/>
      <c r="BB140" s="185"/>
      <c r="BC140" s="182">
        <v>2002.75</v>
      </c>
      <c r="BD140" s="185"/>
      <c r="BE140" s="184"/>
      <c r="BF140" s="185"/>
      <c r="BG140" s="182">
        <v>2004</v>
      </c>
      <c r="BH140" s="182">
        <v>2003</v>
      </c>
      <c r="BI140" s="182">
        <v>2001.96</v>
      </c>
      <c r="BJ140" s="182">
        <v>2001.3766666666668</v>
      </c>
      <c r="BK140" s="185"/>
      <c r="BL140" s="184"/>
      <c r="BM140" s="185"/>
      <c r="BN140" s="182">
        <v>2003.75</v>
      </c>
      <c r="BO140" s="182">
        <v>2002.75</v>
      </c>
      <c r="BP140" s="182">
        <v>2001.75</v>
      </c>
      <c r="BQ140" s="182">
        <v>2000.75</v>
      </c>
      <c r="BR140" s="185"/>
      <c r="BS140" s="184"/>
      <c r="BT140" s="182"/>
      <c r="BU140" s="182">
        <v>2003.75</v>
      </c>
      <c r="BV140" s="185"/>
      <c r="BW140" s="184"/>
      <c r="BX140" s="185"/>
      <c r="BY140" s="182">
        <v>2002.75</v>
      </c>
      <c r="BZ140" s="182"/>
      <c r="CA140" s="184"/>
      <c r="CB140" s="185"/>
      <c r="CC140" s="182">
        <v>2003.75</v>
      </c>
      <c r="CD140" s="182">
        <v>2002.96</v>
      </c>
      <c r="CE140" s="182">
        <v>2002.1666666666667</v>
      </c>
      <c r="CF140" s="182"/>
      <c r="CG140" s="184"/>
      <c r="CH140" s="185"/>
      <c r="CI140" s="182">
        <v>2004.5</v>
      </c>
      <c r="CJ140" s="182"/>
      <c r="CK140" s="184"/>
      <c r="CL140" s="185"/>
      <c r="CM140" s="182">
        <v>2003.75</v>
      </c>
      <c r="CN140" s="182"/>
      <c r="CO140" s="182"/>
      <c r="CP140" s="182"/>
      <c r="CQ140" s="182"/>
      <c r="CR140" s="184"/>
      <c r="CS140" s="185"/>
      <c r="CT140" s="182">
        <v>2003.75</v>
      </c>
      <c r="CU140" s="182"/>
      <c r="CV140" s="184"/>
      <c r="CW140" s="185"/>
      <c r="CX140" s="182">
        <v>2003.75</v>
      </c>
      <c r="CY140" s="182"/>
      <c r="CZ140" s="182"/>
      <c r="DA140" s="182"/>
      <c r="DB140" s="184"/>
      <c r="DC140" s="185"/>
      <c r="DD140" s="182">
        <v>2003.75</v>
      </c>
      <c r="DE140" s="182"/>
      <c r="DF140" s="184"/>
      <c r="DG140" s="185"/>
      <c r="DH140" s="182">
        <v>2003.75</v>
      </c>
      <c r="DI140" s="182"/>
      <c r="DJ140" s="182"/>
      <c r="DK140" s="182"/>
      <c r="DL140" s="182"/>
      <c r="DM140" s="184"/>
      <c r="DN140" s="185"/>
      <c r="DO140" s="182">
        <v>2003.75</v>
      </c>
      <c r="DP140" s="182"/>
      <c r="DQ140" s="182"/>
      <c r="DR140" s="182"/>
      <c r="DS140" s="182"/>
      <c r="DT140" s="184"/>
      <c r="DU140" s="185"/>
      <c r="DV140" s="182">
        <v>2003.75</v>
      </c>
      <c r="DW140" s="182"/>
      <c r="DX140" s="184"/>
      <c r="DY140" s="185"/>
      <c r="DZ140" s="182">
        <v>2004</v>
      </c>
      <c r="EA140" s="182"/>
      <c r="EB140" s="184"/>
      <c r="EC140" s="185"/>
      <c r="ED140" s="182">
        <v>2003.75</v>
      </c>
      <c r="EE140" s="182"/>
      <c r="EF140" s="184"/>
      <c r="EG140" s="185"/>
      <c r="EH140" s="182">
        <v>2004</v>
      </c>
      <c r="EI140" s="182"/>
      <c r="EJ140" s="184"/>
      <c r="EK140" s="185"/>
      <c r="EL140" s="182">
        <v>2004</v>
      </c>
      <c r="EM140" s="182"/>
      <c r="EN140" s="184"/>
      <c r="EO140" s="185"/>
      <c r="EP140" s="182">
        <v>2003.75</v>
      </c>
      <c r="EQ140" s="182"/>
      <c r="ER140" s="184"/>
      <c r="ES140" s="185"/>
      <c r="ET140" s="182">
        <v>2003.75</v>
      </c>
      <c r="EU140" s="182"/>
      <c r="EV140" s="184"/>
      <c r="EW140" s="185"/>
      <c r="EX140" s="182">
        <v>2003.75</v>
      </c>
      <c r="EY140" s="182"/>
      <c r="EZ140" s="184"/>
      <c r="FA140" s="185"/>
      <c r="FB140" s="182">
        <v>2004.5</v>
      </c>
      <c r="FC140" s="182"/>
      <c r="FD140" s="184"/>
      <c r="FE140" s="185"/>
      <c r="FF140" s="182">
        <v>2003.75</v>
      </c>
      <c r="FG140" s="182"/>
      <c r="FH140" s="184"/>
      <c r="FI140" s="185"/>
      <c r="FJ140" s="182">
        <v>2003.75</v>
      </c>
      <c r="FK140" s="182"/>
      <c r="FL140" s="184"/>
      <c r="FM140" s="185"/>
      <c r="FN140" s="182">
        <v>2004</v>
      </c>
      <c r="FO140" s="182"/>
      <c r="FP140" s="184"/>
      <c r="FQ140" s="185"/>
      <c r="FR140" s="182">
        <v>2004</v>
      </c>
      <c r="FS140" s="182"/>
      <c r="FT140" s="184"/>
      <c r="FU140" s="185"/>
      <c r="FV140" s="182">
        <v>2004</v>
      </c>
      <c r="FW140" s="182"/>
      <c r="FX140" s="184"/>
      <c r="FY140" s="185"/>
      <c r="FZ140" s="182">
        <v>2003.75</v>
      </c>
      <c r="GA140" s="182"/>
      <c r="GB140" s="184"/>
      <c r="GC140" s="185"/>
      <c r="GD140" s="182">
        <v>2003.75</v>
      </c>
      <c r="GE140" s="182"/>
      <c r="GF140" s="184"/>
      <c r="GG140" s="185"/>
      <c r="GH140" s="182">
        <v>2002.75</v>
      </c>
      <c r="GI140" s="182"/>
      <c r="GJ140" s="184"/>
      <c r="GK140" s="185"/>
      <c r="GL140" s="182">
        <v>2003.75</v>
      </c>
      <c r="GM140" s="182"/>
      <c r="GN140" s="184"/>
      <c r="GO140" s="185"/>
      <c r="GP140" s="182">
        <v>2002.75</v>
      </c>
      <c r="GQ140" s="182"/>
      <c r="GR140" s="184"/>
      <c r="GS140" s="185"/>
      <c r="GT140" s="182">
        <v>2004.04</v>
      </c>
      <c r="GU140" s="182"/>
      <c r="GV140" s="184"/>
      <c r="GW140" s="185"/>
      <c r="GX140" s="182">
        <v>2004.1666666666667</v>
      </c>
      <c r="GY140" s="182"/>
      <c r="GZ140" s="184"/>
      <c r="HA140" s="185"/>
      <c r="HB140" s="182">
        <v>2004</v>
      </c>
      <c r="HC140" s="182"/>
      <c r="HD140" s="184"/>
      <c r="HE140" s="185"/>
      <c r="HF140" s="182">
        <v>2002.75</v>
      </c>
      <c r="HG140" s="182">
        <v>2001.75</v>
      </c>
      <c r="HH140" s="182"/>
    </row>
    <row r="141" spans="1:256" s="186" customFormat="1" x14ac:dyDescent="0.2">
      <c r="A141" s="182" t="s">
        <v>310</v>
      </c>
      <c r="B141" s="183"/>
      <c r="C141" s="184"/>
      <c r="D141" s="185"/>
      <c r="E141" s="182">
        <v>2003</v>
      </c>
      <c r="F141" s="182">
        <v>2002</v>
      </c>
      <c r="G141" s="182">
        <v>2001</v>
      </c>
      <c r="H141" s="182">
        <v>2000</v>
      </c>
      <c r="I141" s="182"/>
      <c r="J141" s="184"/>
      <c r="K141" s="185"/>
      <c r="L141" s="182">
        <v>2003</v>
      </c>
      <c r="M141" s="182"/>
      <c r="N141" s="184"/>
      <c r="O141" s="185"/>
      <c r="P141" s="182">
        <v>2004</v>
      </c>
      <c r="Q141" s="182">
        <v>2003</v>
      </c>
      <c r="R141" s="182">
        <v>2002</v>
      </c>
      <c r="S141" s="182">
        <v>2001</v>
      </c>
      <c r="T141" s="182"/>
      <c r="U141" s="184"/>
      <c r="V141" s="185"/>
      <c r="W141" s="182">
        <v>2004</v>
      </c>
      <c r="X141" s="182">
        <v>2003</v>
      </c>
      <c r="Y141" s="182">
        <v>2002</v>
      </c>
      <c r="Z141" s="182">
        <v>2001</v>
      </c>
      <c r="AA141" s="182"/>
      <c r="AB141" s="184"/>
      <c r="AC141" s="185"/>
      <c r="AD141" s="182">
        <v>2003</v>
      </c>
      <c r="AE141" s="182"/>
      <c r="AF141" s="184"/>
      <c r="AG141" s="185"/>
      <c r="AH141" s="182">
        <v>2003</v>
      </c>
      <c r="AI141" s="182"/>
      <c r="AJ141" s="184"/>
      <c r="AK141" s="185"/>
      <c r="AL141" s="182">
        <v>2003</v>
      </c>
      <c r="AM141" s="182"/>
      <c r="AN141" s="182"/>
      <c r="AO141" s="182"/>
      <c r="AP141" s="184"/>
      <c r="AQ141" s="185"/>
      <c r="AR141" s="182">
        <v>2003</v>
      </c>
      <c r="AS141" s="182">
        <v>2002</v>
      </c>
      <c r="AT141" s="182">
        <v>2001</v>
      </c>
      <c r="AU141" s="182">
        <v>2000</v>
      </c>
      <c r="AV141" s="182"/>
      <c r="AW141" s="184"/>
      <c r="AX141" s="185"/>
      <c r="AY141" s="182">
        <v>2004</v>
      </c>
      <c r="AZ141" s="182"/>
      <c r="BA141" s="184"/>
      <c r="BB141" s="185"/>
      <c r="BC141" s="182">
        <v>2002</v>
      </c>
      <c r="BD141" s="185"/>
      <c r="BE141" s="184"/>
      <c r="BF141" s="185"/>
      <c r="BG141" s="182">
        <v>2004</v>
      </c>
      <c r="BH141" s="182">
        <v>2003</v>
      </c>
      <c r="BI141" s="182">
        <v>2002</v>
      </c>
      <c r="BJ141" s="182">
        <v>2000</v>
      </c>
      <c r="BK141" s="185"/>
      <c r="BL141" s="184"/>
      <c r="BM141" s="185"/>
      <c r="BN141" s="182">
        <v>2003</v>
      </c>
      <c r="BO141" s="182">
        <v>2002</v>
      </c>
      <c r="BP141" s="182">
        <v>2001</v>
      </c>
      <c r="BQ141" s="182">
        <v>2000</v>
      </c>
      <c r="BR141" s="185"/>
      <c r="BS141" s="184"/>
      <c r="BT141" s="182"/>
      <c r="BU141" s="182">
        <v>2003</v>
      </c>
      <c r="BV141" s="185"/>
      <c r="BW141" s="184"/>
      <c r="BX141" s="185"/>
      <c r="BY141" s="182">
        <v>2002</v>
      </c>
      <c r="BZ141" s="182"/>
      <c r="CA141" s="184"/>
      <c r="CB141" s="185"/>
      <c r="CC141" s="182">
        <v>2003</v>
      </c>
      <c r="CD141" s="182">
        <v>2002</v>
      </c>
      <c r="CE141" s="182">
        <v>2002</v>
      </c>
      <c r="CF141" s="182"/>
      <c r="CG141" s="184"/>
      <c r="CH141" s="185"/>
      <c r="CI141" s="182">
        <v>2004</v>
      </c>
      <c r="CJ141" s="182"/>
      <c r="CK141" s="184"/>
      <c r="CL141" s="185"/>
      <c r="CM141" s="182">
        <v>2003</v>
      </c>
      <c r="CN141" s="182"/>
      <c r="CO141" s="182"/>
      <c r="CP141" s="182"/>
      <c r="CQ141" s="182"/>
      <c r="CR141" s="184"/>
      <c r="CS141" s="185"/>
      <c r="CT141" s="182">
        <v>2003</v>
      </c>
      <c r="CU141" s="182"/>
      <c r="CV141" s="184"/>
      <c r="CW141" s="185"/>
      <c r="CX141" s="182">
        <v>2003</v>
      </c>
      <c r="CY141" s="182"/>
      <c r="CZ141" s="182"/>
      <c r="DA141" s="182"/>
      <c r="DB141" s="184"/>
      <c r="DC141" s="185"/>
      <c r="DD141" s="182">
        <v>2003</v>
      </c>
      <c r="DE141" s="182"/>
      <c r="DF141" s="184"/>
      <c r="DG141" s="185"/>
      <c r="DH141" s="182">
        <v>2003</v>
      </c>
      <c r="DI141" s="182"/>
      <c r="DJ141" s="182"/>
      <c r="DK141" s="182"/>
      <c r="DL141" s="182"/>
      <c r="DM141" s="184"/>
      <c r="DN141" s="185"/>
      <c r="DO141" s="182">
        <v>2003</v>
      </c>
      <c r="DP141" s="182"/>
      <c r="DQ141" s="182"/>
      <c r="DR141" s="182"/>
      <c r="DS141" s="182"/>
      <c r="DT141" s="184"/>
      <c r="DU141" s="185"/>
      <c r="DV141" s="182">
        <v>2003</v>
      </c>
      <c r="DW141" s="182"/>
      <c r="DX141" s="184"/>
      <c r="DY141" s="185"/>
      <c r="DZ141" s="182">
        <v>2004</v>
      </c>
      <c r="EA141" s="182"/>
      <c r="EB141" s="184"/>
      <c r="EC141" s="185"/>
      <c r="ED141" s="182">
        <v>2003</v>
      </c>
      <c r="EE141" s="182"/>
      <c r="EF141" s="184"/>
      <c r="EG141" s="185"/>
      <c r="EH141" s="182">
        <v>2004</v>
      </c>
      <c r="EI141" s="182"/>
      <c r="EJ141" s="184"/>
      <c r="EK141" s="185"/>
      <c r="EL141" s="182">
        <v>2004</v>
      </c>
      <c r="EM141" s="182"/>
      <c r="EN141" s="184"/>
      <c r="EO141" s="185"/>
      <c r="EP141" s="182">
        <v>2003</v>
      </c>
      <c r="EQ141" s="182"/>
      <c r="ER141" s="184"/>
      <c r="ES141" s="185"/>
      <c r="ET141" s="182">
        <v>2003</v>
      </c>
      <c r="EU141" s="182"/>
      <c r="EV141" s="184"/>
      <c r="EW141" s="185"/>
      <c r="EX141" s="182">
        <v>2003</v>
      </c>
      <c r="EY141" s="182"/>
      <c r="EZ141" s="184"/>
      <c r="FA141" s="185"/>
      <c r="FB141" s="182">
        <v>2004</v>
      </c>
      <c r="FC141" s="182"/>
      <c r="FD141" s="184"/>
      <c r="FE141" s="185"/>
      <c r="FF141" s="182">
        <v>2003</v>
      </c>
      <c r="FG141" s="182"/>
      <c r="FH141" s="184"/>
      <c r="FI141" s="185"/>
      <c r="FJ141" s="182">
        <v>2003</v>
      </c>
      <c r="FK141" s="182"/>
      <c r="FL141" s="184"/>
      <c r="FM141" s="185"/>
      <c r="FN141" s="182">
        <v>2004</v>
      </c>
      <c r="FO141" s="182"/>
      <c r="FP141" s="184"/>
      <c r="FQ141" s="185"/>
      <c r="FR141" s="182">
        <v>2004</v>
      </c>
      <c r="FS141" s="182"/>
      <c r="FT141" s="184"/>
      <c r="FU141" s="185"/>
      <c r="FV141" s="182">
        <v>2004</v>
      </c>
      <c r="FW141" s="182"/>
      <c r="FX141" s="184"/>
      <c r="FY141" s="185"/>
      <c r="FZ141" s="182">
        <v>2003</v>
      </c>
      <c r="GA141" s="182"/>
      <c r="GB141" s="184"/>
      <c r="GC141" s="185"/>
      <c r="GD141" s="182">
        <v>2003</v>
      </c>
      <c r="GE141" s="182"/>
      <c r="GF141" s="184"/>
      <c r="GG141" s="185"/>
      <c r="GH141" s="182">
        <v>2002</v>
      </c>
      <c r="GI141" s="182"/>
      <c r="GJ141" s="184"/>
      <c r="GK141" s="185"/>
      <c r="GL141" s="182">
        <v>2003</v>
      </c>
      <c r="GM141" s="182"/>
      <c r="GN141" s="184"/>
      <c r="GO141" s="185"/>
      <c r="GP141" s="182">
        <v>2002</v>
      </c>
      <c r="GQ141" s="182"/>
      <c r="GR141" s="184"/>
      <c r="GS141" s="185"/>
      <c r="GT141" s="182">
        <v>2003</v>
      </c>
      <c r="GU141" s="182"/>
      <c r="GV141" s="184"/>
      <c r="GW141" s="185"/>
      <c r="GX141" s="182">
        <v>2004</v>
      </c>
      <c r="GY141" s="182"/>
      <c r="GZ141" s="184"/>
      <c r="HA141" s="185"/>
      <c r="HB141" s="182">
        <v>2004</v>
      </c>
      <c r="HC141" s="182"/>
      <c r="HD141" s="184"/>
      <c r="HE141" s="185"/>
      <c r="HF141" s="182">
        <v>2002</v>
      </c>
      <c r="HG141" s="182">
        <v>2001</v>
      </c>
      <c r="HH141" s="182"/>
    </row>
    <row r="142" spans="1:256" s="186" customFormat="1" x14ac:dyDescent="0.2">
      <c r="A142" s="182" t="s">
        <v>311</v>
      </c>
      <c r="B142" s="183"/>
      <c r="C142" s="184"/>
      <c r="D142" s="185"/>
      <c r="E142" s="182">
        <v>1</v>
      </c>
      <c r="F142" s="182">
        <v>1</v>
      </c>
      <c r="G142" s="182">
        <v>1</v>
      </c>
      <c r="H142" s="182">
        <v>1</v>
      </c>
      <c r="I142" s="182"/>
      <c r="J142" s="184"/>
      <c r="K142" s="185"/>
      <c r="L142" s="182">
        <v>1</v>
      </c>
      <c r="M142" s="182"/>
      <c r="N142" s="184"/>
      <c r="O142" s="185"/>
      <c r="P142" s="182">
        <v>1</v>
      </c>
      <c r="Q142" s="182">
        <v>1</v>
      </c>
      <c r="R142" s="182">
        <v>1</v>
      </c>
      <c r="S142" s="182">
        <v>1</v>
      </c>
      <c r="T142" s="182"/>
      <c r="U142" s="184"/>
      <c r="V142" s="185"/>
      <c r="W142" s="182">
        <v>1</v>
      </c>
      <c r="X142" s="182">
        <v>1</v>
      </c>
      <c r="Y142" s="182">
        <v>1</v>
      </c>
      <c r="Z142" s="182">
        <v>1</v>
      </c>
      <c r="AA142" s="182"/>
      <c r="AB142" s="184"/>
      <c r="AC142" s="185"/>
      <c r="AD142" s="182">
        <v>1</v>
      </c>
      <c r="AE142" s="182"/>
      <c r="AF142" s="184"/>
      <c r="AG142" s="185"/>
      <c r="AH142" s="182">
        <v>1</v>
      </c>
      <c r="AI142" s="182"/>
      <c r="AJ142" s="184"/>
      <c r="AK142" s="185"/>
      <c r="AL142" s="182">
        <v>1</v>
      </c>
      <c r="AM142" s="182"/>
      <c r="AN142" s="182"/>
      <c r="AO142" s="182"/>
      <c r="AP142" s="184"/>
      <c r="AQ142" s="185"/>
      <c r="AR142" s="182">
        <v>1</v>
      </c>
      <c r="AS142" s="182">
        <v>1</v>
      </c>
      <c r="AT142" s="182">
        <v>1</v>
      </c>
      <c r="AU142" s="182">
        <v>1</v>
      </c>
      <c r="AV142" s="182"/>
      <c r="AW142" s="184"/>
      <c r="AX142" s="185"/>
      <c r="AY142" s="182">
        <v>1</v>
      </c>
      <c r="AZ142" s="182"/>
      <c r="BA142" s="184"/>
      <c r="BB142" s="185"/>
      <c r="BC142" s="182">
        <v>1</v>
      </c>
      <c r="BD142" s="185"/>
      <c r="BE142" s="184"/>
      <c r="BF142" s="185"/>
      <c r="BG142" s="182">
        <v>1</v>
      </c>
      <c r="BH142" s="182">
        <v>1</v>
      </c>
      <c r="BI142" s="182">
        <v>1.08</v>
      </c>
      <c r="BJ142" s="182">
        <v>0.08</v>
      </c>
      <c r="BK142" s="185"/>
      <c r="BL142" s="184"/>
      <c r="BM142" s="185"/>
      <c r="BN142" s="182">
        <v>1</v>
      </c>
      <c r="BO142" s="182">
        <v>1</v>
      </c>
      <c r="BP142" s="182">
        <v>1</v>
      </c>
      <c r="BQ142" s="182">
        <v>1</v>
      </c>
      <c r="BR142" s="185"/>
      <c r="BS142" s="184"/>
      <c r="BT142" s="182"/>
      <c r="BU142" s="182">
        <v>1</v>
      </c>
      <c r="BV142" s="185"/>
      <c r="BW142" s="184"/>
      <c r="BX142" s="185"/>
      <c r="BY142" s="182">
        <v>1</v>
      </c>
      <c r="BZ142" s="182"/>
      <c r="CA142" s="184"/>
      <c r="CB142" s="185"/>
      <c r="CC142" s="182">
        <v>1</v>
      </c>
      <c r="CD142" s="182">
        <v>0.57999999999999996</v>
      </c>
      <c r="CE142" s="182">
        <v>1</v>
      </c>
      <c r="CF142" s="182"/>
      <c r="CG142" s="184"/>
      <c r="CH142" s="185"/>
      <c r="CI142" s="182">
        <v>1</v>
      </c>
      <c r="CJ142" s="182"/>
      <c r="CK142" s="184"/>
      <c r="CL142" s="185"/>
      <c r="CM142" s="182">
        <v>1</v>
      </c>
      <c r="CN142" s="182"/>
      <c r="CO142" s="182"/>
      <c r="CP142" s="182"/>
      <c r="CQ142" s="182"/>
      <c r="CR142" s="184"/>
      <c r="CS142" s="185"/>
      <c r="CT142" s="182">
        <v>1</v>
      </c>
      <c r="CU142" s="182"/>
      <c r="CV142" s="184"/>
      <c r="CW142" s="185"/>
      <c r="CX142" s="182">
        <v>1</v>
      </c>
      <c r="CY142" s="182"/>
      <c r="CZ142" s="182"/>
      <c r="DA142" s="182"/>
      <c r="DB142" s="184"/>
      <c r="DC142" s="185"/>
      <c r="DD142" s="182">
        <v>1</v>
      </c>
      <c r="DE142" s="182"/>
      <c r="DF142" s="184"/>
      <c r="DG142" s="185"/>
      <c r="DH142" s="182">
        <v>1</v>
      </c>
      <c r="DI142" s="182"/>
      <c r="DJ142" s="182"/>
      <c r="DK142" s="182"/>
      <c r="DL142" s="182"/>
      <c r="DM142" s="184"/>
      <c r="DN142" s="185"/>
      <c r="DO142" s="182">
        <v>1</v>
      </c>
      <c r="DP142" s="182"/>
      <c r="DQ142" s="182"/>
      <c r="DR142" s="182"/>
      <c r="DS142" s="182"/>
      <c r="DT142" s="184"/>
      <c r="DU142" s="185"/>
      <c r="DV142" s="182">
        <v>1</v>
      </c>
      <c r="DW142" s="182"/>
      <c r="DX142" s="184"/>
      <c r="DY142" s="185"/>
      <c r="DZ142" s="182">
        <v>1</v>
      </c>
      <c r="EA142" s="182"/>
      <c r="EB142" s="184"/>
      <c r="EC142" s="185"/>
      <c r="ED142" s="182">
        <v>1</v>
      </c>
      <c r="EE142" s="182"/>
      <c r="EF142" s="184"/>
      <c r="EG142" s="185"/>
      <c r="EH142" s="182">
        <v>1</v>
      </c>
      <c r="EI142" s="182"/>
      <c r="EJ142" s="184"/>
      <c r="EK142" s="185"/>
      <c r="EL142" s="182">
        <v>1</v>
      </c>
      <c r="EM142" s="182"/>
      <c r="EN142" s="184"/>
      <c r="EO142" s="185"/>
      <c r="EP142" s="182">
        <v>1</v>
      </c>
      <c r="EQ142" s="182"/>
      <c r="ER142" s="184"/>
      <c r="ES142" s="185"/>
      <c r="ET142" s="182">
        <v>1</v>
      </c>
      <c r="EU142" s="182"/>
      <c r="EV142" s="184"/>
      <c r="EW142" s="185"/>
      <c r="EX142" s="182">
        <v>1</v>
      </c>
      <c r="EY142" s="182"/>
      <c r="EZ142" s="184"/>
      <c r="FA142" s="185"/>
      <c r="FB142" s="182">
        <v>0.5</v>
      </c>
      <c r="FC142" s="182"/>
      <c r="FD142" s="184"/>
      <c r="FE142" s="185"/>
      <c r="FF142" s="182">
        <v>1</v>
      </c>
      <c r="FG142" s="182"/>
      <c r="FH142" s="184"/>
      <c r="FI142" s="185"/>
      <c r="FJ142" s="182">
        <v>1</v>
      </c>
      <c r="FK142" s="182"/>
      <c r="FL142" s="184"/>
      <c r="FM142" s="185"/>
      <c r="FN142" s="182">
        <v>1</v>
      </c>
      <c r="FO142" s="182"/>
      <c r="FP142" s="184"/>
      <c r="FQ142" s="185"/>
      <c r="FR142" s="182">
        <v>1</v>
      </c>
      <c r="FS142" s="182"/>
      <c r="FT142" s="184"/>
      <c r="FU142" s="185"/>
      <c r="FV142" s="182">
        <v>1</v>
      </c>
      <c r="FW142" s="182"/>
      <c r="FX142" s="184"/>
      <c r="FY142" s="185"/>
      <c r="FZ142" s="182">
        <v>1</v>
      </c>
      <c r="GA142" s="182"/>
      <c r="GB142" s="184"/>
      <c r="GC142" s="185"/>
      <c r="GD142" s="182">
        <v>1</v>
      </c>
      <c r="GE142" s="182"/>
      <c r="GF142" s="184"/>
      <c r="GG142" s="185"/>
      <c r="GH142" s="182">
        <v>1</v>
      </c>
      <c r="GI142" s="182"/>
      <c r="GJ142" s="184"/>
      <c r="GK142" s="185"/>
      <c r="GL142" s="182">
        <v>1</v>
      </c>
      <c r="GM142" s="182"/>
      <c r="GN142" s="184"/>
      <c r="GO142" s="185"/>
      <c r="GP142" s="182">
        <v>1</v>
      </c>
      <c r="GQ142" s="182"/>
      <c r="GR142" s="184"/>
      <c r="GS142" s="185"/>
      <c r="GT142" s="182">
        <v>0.42</v>
      </c>
      <c r="GU142" s="182"/>
      <c r="GV142" s="184"/>
      <c r="GW142" s="185"/>
      <c r="GX142" s="182">
        <v>1</v>
      </c>
      <c r="GY142" s="182"/>
      <c r="GZ142" s="184"/>
      <c r="HA142" s="185"/>
      <c r="HB142" s="182">
        <v>1</v>
      </c>
      <c r="HC142" s="182"/>
      <c r="HD142" s="184"/>
      <c r="HE142" s="185"/>
      <c r="HF142" s="182">
        <v>1</v>
      </c>
      <c r="HG142" s="182">
        <v>1</v>
      </c>
      <c r="HH142" s="182"/>
    </row>
    <row r="143" spans="1:256" s="187" customFormat="1" x14ac:dyDescent="0.2">
      <c r="B143" s="188"/>
      <c r="C143" s="117"/>
      <c r="D143" s="118"/>
      <c r="E143" s="189"/>
      <c r="F143" s="189"/>
      <c r="G143" s="189"/>
      <c r="H143" s="189"/>
      <c r="I143" s="189"/>
      <c r="J143" s="114"/>
      <c r="K143" s="108"/>
      <c r="L143" s="190"/>
      <c r="M143" s="190"/>
      <c r="N143" s="117"/>
      <c r="O143" s="118"/>
      <c r="P143" s="190"/>
      <c r="Q143" s="190"/>
      <c r="R143" s="190"/>
      <c r="S143" s="190"/>
      <c r="T143" s="190"/>
      <c r="U143" s="114"/>
      <c r="V143" s="108"/>
      <c r="W143" s="190"/>
      <c r="X143" s="190"/>
      <c r="Y143" s="190"/>
      <c r="Z143" s="190"/>
      <c r="AA143" s="190"/>
      <c r="AB143" s="114"/>
      <c r="AC143" s="108"/>
      <c r="AD143" s="190"/>
      <c r="AE143" s="190"/>
      <c r="AF143" s="114"/>
      <c r="AG143" s="108"/>
      <c r="AH143" s="190"/>
      <c r="AI143" s="190"/>
      <c r="AJ143" s="114"/>
      <c r="AK143" s="108"/>
      <c r="AL143" s="190"/>
      <c r="AM143" s="190"/>
      <c r="AN143" s="190"/>
      <c r="AO143" s="190"/>
      <c r="AP143" s="114"/>
      <c r="AQ143" s="108"/>
      <c r="AR143" s="190"/>
      <c r="AS143" s="190"/>
      <c r="AT143" s="190"/>
      <c r="AU143" s="190"/>
      <c r="AV143" s="190"/>
      <c r="AW143" s="114"/>
      <c r="AX143" s="108"/>
      <c r="AY143" s="190"/>
      <c r="AZ143" s="190"/>
      <c r="BA143" s="119"/>
      <c r="BB143" s="26"/>
      <c r="BC143" s="189"/>
      <c r="BD143" s="189"/>
      <c r="BE143" s="119"/>
      <c r="BF143" s="26"/>
      <c r="BG143" s="189"/>
      <c r="BH143" s="189"/>
      <c r="BI143" s="189"/>
      <c r="BJ143" s="189"/>
      <c r="BK143" s="189"/>
      <c r="BL143" s="119"/>
      <c r="BM143" s="26"/>
      <c r="BN143" s="189"/>
      <c r="BO143" s="189"/>
      <c r="BP143" s="189"/>
      <c r="BQ143" s="189"/>
      <c r="BR143" s="189"/>
      <c r="BS143" s="114"/>
      <c r="BT143" s="189"/>
      <c r="BU143" s="189"/>
      <c r="BV143" s="189"/>
      <c r="BW143" s="191"/>
      <c r="BX143" s="192"/>
      <c r="BY143" s="190"/>
      <c r="BZ143" s="190"/>
      <c r="CA143" s="193"/>
      <c r="CB143" s="189"/>
      <c r="CC143" s="190"/>
      <c r="CD143" s="190"/>
      <c r="CE143" s="190"/>
      <c r="CF143" s="190"/>
      <c r="CG143" s="114"/>
      <c r="CH143" s="108"/>
      <c r="CI143" s="190"/>
      <c r="CJ143" s="190"/>
      <c r="CK143" s="114"/>
      <c r="CL143" s="108"/>
      <c r="CM143" s="190"/>
      <c r="CN143" s="190"/>
      <c r="CO143" s="190"/>
      <c r="CP143" s="190"/>
      <c r="CQ143" s="190"/>
      <c r="CR143" s="114"/>
      <c r="CS143" s="108"/>
      <c r="CT143" s="190"/>
      <c r="CU143" s="190"/>
      <c r="CV143" s="114"/>
      <c r="CW143" s="108"/>
      <c r="CX143" s="190"/>
      <c r="CY143" s="190"/>
      <c r="CZ143" s="190"/>
      <c r="DA143" s="190"/>
      <c r="DB143" s="114"/>
      <c r="DC143" s="108"/>
      <c r="DD143" s="190"/>
      <c r="DE143" s="190"/>
      <c r="DF143" s="114"/>
      <c r="DG143" s="108"/>
      <c r="DH143" s="190"/>
      <c r="DI143" s="190"/>
      <c r="DJ143" s="190"/>
      <c r="DK143" s="190"/>
      <c r="DL143" s="190"/>
      <c r="DM143" s="191"/>
      <c r="DN143" s="192"/>
      <c r="DO143" s="190"/>
      <c r="DP143" s="190"/>
      <c r="DQ143" s="190"/>
      <c r="DR143" s="190"/>
      <c r="DS143" s="190"/>
      <c r="DT143" s="114"/>
      <c r="DU143" s="108"/>
      <c r="DV143" s="190"/>
      <c r="DW143" s="190"/>
      <c r="DX143" s="114"/>
      <c r="DY143" s="108"/>
      <c r="DZ143" s="190"/>
      <c r="EA143" s="190"/>
      <c r="EB143" s="191"/>
      <c r="EC143" s="192"/>
      <c r="ED143" s="190"/>
      <c r="EE143" s="190"/>
      <c r="EF143" s="191"/>
      <c r="EG143" s="192"/>
      <c r="EH143" s="190"/>
      <c r="EI143" s="190"/>
      <c r="EJ143" s="191"/>
      <c r="EK143" s="192"/>
      <c r="EL143" s="190"/>
      <c r="EM143" s="190"/>
      <c r="EN143" s="191"/>
      <c r="EO143" s="192"/>
      <c r="EP143" s="190"/>
      <c r="EQ143" s="190"/>
      <c r="ER143" s="191"/>
      <c r="ES143" s="192"/>
      <c r="ET143" s="190"/>
      <c r="EU143" s="190"/>
      <c r="EV143" s="191"/>
      <c r="EW143" s="192"/>
      <c r="EX143" s="190"/>
      <c r="EY143" s="190"/>
      <c r="EZ143" s="191"/>
      <c r="FA143" s="192"/>
      <c r="FB143" s="190"/>
      <c r="FC143" s="190"/>
      <c r="FD143" s="191"/>
      <c r="FE143" s="192"/>
      <c r="FF143" s="190"/>
      <c r="FG143" s="190"/>
      <c r="FH143" s="191"/>
      <c r="FI143" s="192"/>
      <c r="FJ143" s="190"/>
      <c r="FK143" s="190"/>
      <c r="FL143" s="191"/>
      <c r="FM143" s="192"/>
      <c r="FN143" s="190"/>
      <c r="FO143" s="190"/>
      <c r="FP143" s="191"/>
      <c r="FQ143" s="192"/>
      <c r="FR143" s="190"/>
      <c r="FS143" s="190"/>
      <c r="FT143" s="191"/>
      <c r="FU143" s="192"/>
      <c r="FV143" s="190"/>
      <c r="FW143" s="190"/>
      <c r="FX143" s="191"/>
      <c r="FY143" s="192"/>
      <c r="FZ143" s="190"/>
      <c r="GA143" s="190"/>
      <c r="GB143" s="191"/>
      <c r="GC143" s="192"/>
      <c r="GD143" s="190"/>
      <c r="GE143" s="190"/>
      <c r="GF143" s="191"/>
      <c r="GG143" s="192"/>
      <c r="GH143" s="190"/>
      <c r="GI143" s="190"/>
      <c r="GJ143" s="191"/>
      <c r="GK143" s="192"/>
      <c r="GL143" s="190"/>
      <c r="GM143" s="190"/>
      <c r="GN143" s="191"/>
      <c r="GO143" s="192"/>
      <c r="GP143" s="190"/>
      <c r="GQ143" s="190"/>
      <c r="GR143" s="191"/>
      <c r="GS143" s="192"/>
      <c r="GT143" s="190"/>
      <c r="GU143" s="190"/>
      <c r="GV143" s="191"/>
      <c r="GW143" s="192"/>
      <c r="GX143" s="190"/>
      <c r="GY143" s="190"/>
      <c r="GZ143" s="191"/>
      <c r="HA143" s="192"/>
      <c r="HB143" s="190"/>
      <c r="HC143" s="190"/>
      <c r="HD143" s="191"/>
      <c r="HE143" s="192"/>
      <c r="HF143" s="190"/>
      <c r="HG143" s="190"/>
      <c r="HH143" s="190"/>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187" customFormat="1" x14ac:dyDescent="0.2">
      <c r="B144" s="188"/>
      <c r="C144" s="117"/>
      <c r="D144" s="118"/>
      <c r="E144" s="189"/>
      <c r="F144" s="189"/>
      <c r="G144" s="189"/>
      <c r="H144" s="189"/>
      <c r="I144" s="189"/>
      <c r="J144" s="114"/>
      <c r="K144" s="108"/>
      <c r="L144" s="190"/>
      <c r="M144" s="190"/>
      <c r="N144" s="117"/>
      <c r="O144" s="118"/>
      <c r="P144" s="190"/>
      <c r="Q144" s="190"/>
      <c r="R144" s="190"/>
      <c r="S144" s="190"/>
      <c r="T144" s="190"/>
      <c r="U144" s="114"/>
      <c r="V144" s="108"/>
      <c r="W144" s="190"/>
      <c r="X144" s="190"/>
      <c r="Y144" s="190"/>
      <c r="Z144" s="190"/>
      <c r="AA144" s="190"/>
      <c r="AB144" s="114"/>
      <c r="AC144" s="108"/>
      <c r="AD144" s="190"/>
      <c r="AE144" s="190"/>
      <c r="AF144" s="114"/>
      <c r="AG144" s="108"/>
      <c r="AH144" s="190"/>
      <c r="AI144" s="190"/>
      <c r="AJ144" s="114"/>
      <c r="AK144" s="108"/>
      <c r="AL144" s="190"/>
      <c r="AM144" s="190"/>
      <c r="AN144" s="190"/>
      <c r="AO144" s="190"/>
      <c r="AP144" s="114"/>
      <c r="AQ144" s="108"/>
      <c r="AR144" s="190"/>
      <c r="AS144" s="190"/>
      <c r="AT144" s="190"/>
      <c r="AU144" s="190"/>
      <c r="AV144" s="190"/>
      <c r="AW144" s="114"/>
      <c r="AX144" s="108"/>
      <c r="AY144" s="190"/>
      <c r="AZ144" s="190"/>
      <c r="BA144" s="119"/>
      <c r="BB144" s="26"/>
      <c r="BC144" s="189"/>
      <c r="BD144" s="189"/>
      <c r="BE144" s="119"/>
      <c r="BF144" s="26"/>
      <c r="BG144" s="189"/>
      <c r="BH144" s="189"/>
      <c r="BI144" s="189"/>
      <c r="BJ144" s="189"/>
      <c r="BK144" s="189"/>
      <c r="BL144" s="119"/>
      <c r="BM144" s="26"/>
      <c r="BN144" s="189"/>
      <c r="BO144" s="189"/>
      <c r="BP144" s="189"/>
      <c r="BQ144" s="189"/>
      <c r="BR144" s="189"/>
      <c r="BS144" s="114"/>
      <c r="BT144" s="189"/>
      <c r="BU144" s="189"/>
      <c r="BV144" s="189"/>
      <c r="BW144" s="191"/>
      <c r="BX144" s="192"/>
      <c r="BY144" s="190"/>
      <c r="BZ144" s="190"/>
      <c r="CA144" s="193"/>
      <c r="CB144" s="189"/>
      <c r="CC144" s="190"/>
      <c r="CD144" s="190"/>
      <c r="CE144" s="190"/>
      <c r="CF144" s="190"/>
      <c r="CG144" s="114"/>
      <c r="CH144" s="108"/>
      <c r="CI144" s="190"/>
      <c r="CJ144" s="190"/>
      <c r="CK144" s="114"/>
      <c r="CL144" s="108"/>
      <c r="CM144" s="190"/>
      <c r="CN144" s="190"/>
      <c r="CO144" s="190"/>
      <c r="CP144" s="190"/>
      <c r="CQ144" s="190"/>
      <c r="CR144" s="114"/>
      <c r="CS144" s="108"/>
      <c r="CT144" s="190"/>
      <c r="CU144" s="190"/>
      <c r="CV144" s="114"/>
      <c r="CW144" s="108"/>
      <c r="CX144" s="190"/>
      <c r="CY144" s="190"/>
      <c r="CZ144" s="190"/>
      <c r="DA144" s="190"/>
      <c r="DB144" s="114"/>
      <c r="DC144" s="108"/>
      <c r="DD144" s="190"/>
      <c r="DE144" s="190"/>
      <c r="DF144" s="114"/>
      <c r="DG144" s="108"/>
      <c r="DH144" s="190"/>
      <c r="DI144" s="190"/>
      <c r="DJ144" s="190"/>
      <c r="DK144" s="190"/>
      <c r="DL144" s="190"/>
      <c r="DM144" s="191"/>
      <c r="DN144" s="192"/>
      <c r="DO144" s="190"/>
      <c r="DP144" s="190"/>
      <c r="DQ144" s="190"/>
      <c r="DR144" s="190"/>
      <c r="DS144" s="190"/>
      <c r="DT144" s="114"/>
      <c r="DU144" s="108"/>
      <c r="DV144" s="190"/>
      <c r="DW144" s="190"/>
      <c r="DX144" s="114"/>
      <c r="DY144" s="108"/>
      <c r="DZ144" s="190"/>
      <c r="EA144" s="190"/>
      <c r="EB144" s="191"/>
      <c r="EC144" s="192"/>
      <c r="ED144" s="190"/>
      <c r="EE144" s="190"/>
      <c r="EF144" s="191"/>
      <c r="EG144" s="192"/>
      <c r="EH144" s="190"/>
      <c r="EI144" s="190"/>
      <c r="EJ144" s="191"/>
      <c r="EK144" s="192"/>
      <c r="EL144" s="190"/>
      <c r="EM144" s="190"/>
      <c r="EN144" s="191"/>
      <c r="EO144" s="192"/>
      <c r="EP144" s="190"/>
      <c r="EQ144" s="190"/>
      <c r="ER144" s="191"/>
      <c r="ES144" s="192"/>
      <c r="ET144" s="190"/>
      <c r="EU144" s="190"/>
      <c r="EV144" s="191"/>
      <c r="EW144" s="192"/>
      <c r="EX144" s="190"/>
      <c r="EY144" s="190"/>
      <c r="EZ144" s="191"/>
      <c r="FA144" s="192"/>
      <c r="FB144" s="190"/>
      <c r="FC144" s="190"/>
      <c r="FD144" s="191"/>
      <c r="FE144" s="192"/>
      <c r="FF144" s="190"/>
      <c r="FG144" s="190"/>
      <c r="FH144" s="191"/>
      <c r="FI144" s="192"/>
      <c r="FJ144" s="190"/>
      <c r="FK144" s="190"/>
      <c r="FL144" s="191"/>
      <c r="FM144" s="192"/>
      <c r="FN144" s="190"/>
      <c r="FO144" s="190"/>
      <c r="FP144" s="191"/>
      <c r="FQ144" s="192"/>
      <c r="FR144" s="190"/>
      <c r="FS144" s="190"/>
      <c r="FT144" s="191"/>
      <c r="FU144" s="192"/>
      <c r="FV144" s="190"/>
      <c r="FW144" s="190"/>
      <c r="FX144" s="191"/>
      <c r="FY144" s="192"/>
      <c r="FZ144" s="190"/>
      <c r="GA144" s="190"/>
      <c r="GB144" s="191"/>
      <c r="GC144" s="192"/>
      <c r="GD144" s="190"/>
      <c r="GE144" s="190"/>
      <c r="GF144" s="191"/>
      <c r="GG144" s="192"/>
      <c r="GH144" s="190"/>
      <c r="GI144" s="190"/>
      <c r="GJ144" s="191"/>
      <c r="GK144" s="192"/>
      <c r="GL144" s="190"/>
      <c r="GM144" s="190"/>
      <c r="GN144" s="191"/>
      <c r="GO144" s="192"/>
      <c r="GP144" s="190"/>
      <c r="GQ144" s="190"/>
      <c r="GR144" s="191"/>
      <c r="GS144" s="192"/>
      <c r="GT144" s="190"/>
      <c r="GU144" s="190"/>
      <c r="GV144" s="191"/>
      <c r="GW144" s="192"/>
      <c r="GX144" s="190"/>
      <c r="GY144" s="190"/>
      <c r="GZ144" s="191"/>
      <c r="HA144" s="192"/>
      <c r="HB144" s="190"/>
      <c r="HC144" s="190"/>
      <c r="HD144" s="191"/>
      <c r="HE144" s="192"/>
      <c r="HF144" s="190"/>
      <c r="HG144" s="190"/>
      <c r="HH144" s="190"/>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x14ac:dyDescent="0.2">
      <c r="A145" s="4" t="s">
        <v>312</v>
      </c>
      <c r="B145" s="116"/>
      <c r="C145" s="117"/>
      <c r="D145" s="118"/>
      <c r="E145" s="108"/>
      <c r="F145" s="108"/>
      <c r="G145" s="108"/>
      <c r="H145" s="108"/>
      <c r="I145" s="108"/>
      <c r="J145" s="114"/>
      <c r="K145" s="108"/>
      <c r="L145" s="111"/>
      <c r="M145" s="111"/>
      <c r="N145" s="117"/>
      <c r="O145" s="118"/>
      <c r="P145" s="111"/>
      <c r="Q145" s="111"/>
      <c r="R145" s="111"/>
      <c r="S145" s="111"/>
      <c r="T145" s="111"/>
      <c r="U145" s="114"/>
      <c r="V145" s="108"/>
      <c r="W145" s="111"/>
      <c r="X145" s="111"/>
      <c r="Y145" s="111"/>
      <c r="Z145" s="111"/>
      <c r="AA145" s="111"/>
      <c r="AB145" s="114"/>
      <c r="AC145" s="108"/>
      <c r="AD145" s="111"/>
      <c r="AE145" s="111"/>
      <c r="AF145" s="114"/>
      <c r="AG145" s="108"/>
      <c r="AH145" s="111"/>
      <c r="AI145" s="111"/>
      <c r="AJ145" s="114"/>
      <c r="AK145" s="108"/>
      <c r="AL145" s="111"/>
      <c r="AM145" s="111"/>
      <c r="AN145" s="111"/>
      <c r="AO145" s="111"/>
      <c r="AP145" s="114"/>
      <c r="AQ145" s="108"/>
      <c r="AR145" s="111"/>
      <c r="AS145" s="111"/>
      <c r="AT145" s="111"/>
      <c r="AU145" s="111"/>
      <c r="AV145" s="111"/>
      <c r="AW145" s="114"/>
      <c r="AX145" s="108"/>
      <c r="AY145" s="111"/>
      <c r="AZ145" s="111"/>
      <c r="BA145" s="119"/>
      <c r="BB145" s="26"/>
      <c r="BC145" s="108"/>
      <c r="BD145" s="108"/>
      <c r="BE145" s="119"/>
      <c r="BF145" s="26"/>
      <c r="BG145" s="108"/>
      <c r="BH145" s="108"/>
      <c r="BI145" s="108"/>
      <c r="BJ145" s="108"/>
      <c r="BK145" s="108"/>
      <c r="BL145" s="119"/>
      <c r="BM145" s="26"/>
      <c r="BN145" s="108"/>
      <c r="BO145" s="108"/>
      <c r="BP145" s="108"/>
      <c r="BQ145" s="108"/>
      <c r="BR145" s="108"/>
      <c r="BS145" s="114"/>
      <c r="BT145" s="108"/>
      <c r="BU145" s="108"/>
      <c r="BV145" s="108"/>
      <c r="BY145" s="111"/>
      <c r="BZ145" s="111"/>
      <c r="CA145" s="114"/>
      <c r="CB145" s="108"/>
      <c r="CC145" s="111"/>
      <c r="CD145" s="111"/>
      <c r="CE145" s="111"/>
      <c r="CF145" s="111"/>
      <c r="CG145" s="114"/>
      <c r="CH145" s="108"/>
      <c r="CI145" s="111"/>
      <c r="CJ145" s="111"/>
      <c r="CK145" s="114"/>
      <c r="CL145" s="108"/>
      <c r="CM145" s="111"/>
      <c r="CN145" s="111"/>
      <c r="CO145" s="111"/>
      <c r="CP145" s="111"/>
      <c r="CQ145" s="111"/>
      <c r="CR145" s="114"/>
      <c r="CS145" s="108"/>
      <c r="CT145" s="111"/>
      <c r="CU145" s="111"/>
      <c r="CV145" s="114"/>
      <c r="CW145" s="108"/>
      <c r="CX145" s="111"/>
      <c r="CY145" s="111"/>
      <c r="CZ145" s="111"/>
      <c r="DA145" s="111"/>
      <c r="DB145" s="114"/>
      <c r="DC145" s="108"/>
      <c r="DD145" s="111"/>
      <c r="DE145" s="111"/>
      <c r="DF145" s="114"/>
      <c r="DG145" s="108"/>
      <c r="DH145" s="111"/>
      <c r="DI145" s="111"/>
      <c r="DJ145" s="111"/>
      <c r="DK145" s="111"/>
      <c r="DL145" s="111"/>
      <c r="DO145" s="111"/>
      <c r="DP145" s="111"/>
      <c r="DQ145" s="111"/>
      <c r="DR145" s="111"/>
      <c r="DS145" s="111"/>
      <c r="DT145" s="114"/>
      <c r="DU145" s="108"/>
      <c r="DV145" s="111"/>
      <c r="DW145" s="111"/>
      <c r="DX145" s="114"/>
      <c r="DY145" s="108"/>
      <c r="DZ145" s="111"/>
      <c r="EA145" s="111"/>
      <c r="ED145" s="111"/>
      <c r="EE145" s="111"/>
      <c r="EH145" s="111"/>
      <c r="EI145" s="111"/>
      <c r="EL145" s="111"/>
      <c r="EM145" s="111"/>
      <c r="EP145" s="111"/>
      <c r="EQ145" s="111"/>
      <c r="ET145" s="111"/>
      <c r="EU145" s="111"/>
      <c r="EX145" s="111"/>
      <c r="EY145" s="111"/>
      <c r="FB145" s="111"/>
      <c r="FC145" s="111"/>
      <c r="FF145" s="111"/>
      <c r="FG145" s="111"/>
      <c r="FJ145" s="111"/>
      <c r="FK145" s="111"/>
      <c r="FN145" s="111"/>
      <c r="FO145" s="111"/>
      <c r="FR145" s="111"/>
      <c r="FS145" s="111"/>
      <c r="FV145" s="111"/>
      <c r="FW145" s="111"/>
      <c r="FZ145" s="111"/>
      <c r="GA145" s="111"/>
      <c r="GD145" s="111"/>
      <c r="GE145" s="111"/>
      <c r="GH145" s="111"/>
      <c r="GI145" s="111"/>
      <c r="GL145" s="111"/>
      <c r="GM145" s="111"/>
      <c r="GP145" s="111"/>
      <c r="GQ145" s="111"/>
      <c r="GT145" s="111"/>
      <c r="GU145" s="111"/>
      <c r="GX145" s="111"/>
      <c r="GY145" s="111"/>
      <c r="HB145" s="111"/>
      <c r="HC145" s="111"/>
      <c r="HF145" s="111"/>
      <c r="HG145" s="111"/>
      <c r="HH145" s="111"/>
    </row>
    <row r="146" spans="1:256" s="194" customFormat="1" ht="89.25" x14ac:dyDescent="0.2">
      <c r="B146" s="194" t="s">
        <v>313</v>
      </c>
      <c r="C146" s="195"/>
      <c r="D146" s="196"/>
      <c r="E146" s="196"/>
      <c r="F146" s="196"/>
      <c r="G146" s="196"/>
      <c r="H146" s="196"/>
      <c r="I146" s="196"/>
      <c r="J146" s="195"/>
      <c r="K146" s="196"/>
      <c r="O146" s="196"/>
      <c r="P146" s="194" t="s">
        <v>314</v>
      </c>
      <c r="Q146" s="194" t="s">
        <v>315</v>
      </c>
      <c r="U146" s="195"/>
      <c r="V146" s="196"/>
      <c r="AB146" s="195"/>
      <c r="AC146" s="196"/>
      <c r="AF146" s="195"/>
      <c r="AG146" s="196"/>
      <c r="AJ146" s="195"/>
      <c r="AK146" s="196"/>
      <c r="AP146" s="195"/>
      <c r="AQ146" s="196"/>
      <c r="AW146" s="195"/>
      <c r="AX146" s="196"/>
      <c r="BB146" s="196"/>
      <c r="BC146" s="196"/>
      <c r="BD146" s="196"/>
      <c r="BF146" s="196"/>
      <c r="BG146" s="196"/>
      <c r="BH146" s="196"/>
      <c r="BI146" s="196"/>
      <c r="BJ146" s="196"/>
      <c r="BK146" s="196"/>
      <c r="BM146" s="196"/>
      <c r="BN146" s="196" t="s">
        <v>316</v>
      </c>
      <c r="BO146" s="196" t="s">
        <v>317</v>
      </c>
      <c r="BP146" s="196"/>
      <c r="BQ146" s="196"/>
      <c r="BR146" s="196"/>
      <c r="BS146" s="195"/>
      <c r="BT146" s="196"/>
      <c r="BU146" s="196"/>
      <c r="BV146" s="196"/>
      <c r="BX146" s="196"/>
      <c r="CA146" s="195"/>
      <c r="CB146" s="196"/>
      <c r="CG146" s="195"/>
      <c r="CH146" s="196"/>
      <c r="CK146" s="195"/>
      <c r="CL146" s="196"/>
      <c r="CR146" s="195"/>
      <c r="CS146" s="196"/>
      <c r="CV146" s="195"/>
      <c r="CW146" s="196"/>
      <c r="DB146" s="195"/>
      <c r="DC146" s="196"/>
      <c r="DF146" s="195"/>
      <c r="DG146" s="196"/>
      <c r="DH146" s="194" t="s">
        <v>318</v>
      </c>
      <c r="DI146" s="194" t="s">
        <v>319</v>
      </c>
      <c r="DN146" s="196"/>
      <c r="DO146" s="194" t="s">
        <v>320</v>
      </c>
      <c r="DP146" s="194" t="s">
        <v>321</v>
      </c>
      <c r="DT146" s="195"/>
      <c r="DU146" s="196"/>
      <c r="DX146" s="195"/>
      <c r="DY146" s="196"/>
      <c r="DZ146" s="194" t="s">
        <v>322</v>
      </c>
      <c r="EA146" s="194" t="s">
        <v>323</v>
      </c>
      <c r="EB146" s="195"/>
      <c r="EC146" s="196"/>
      <c r="EF146" s="195"/>
      <c r="EG146" s="196"/>
      <c r="EJ146" s="195"/>
      <c r="EK146" s="196"/>
      <c r="EN146" s="195"/>
      <c r="EO146" s="196"/>
      <c r="ER146" s="195"/>
      <c r="ES146" s="196"/>
      <c r="EV146" s="195"/>
      <c r="EW146" s="196"/>
      <c r="EZ146" s="195"/>
      <c r="FA146" s="196"/>
      <c r="FD146" s="195"/>
      <c r="FE146" s="196"/>
      <c r="FH146" s="195"/>
      <c r="FI146" s="196"/>
      <c r="FL146" s="195"/>
      <c r="FM146" s="196"/>
      <c r="FP146" s="195"/>
      <c r="FQ146" s="196"/>
      <c r="FT146" s="195"/>
      <c r="FU146" s="196"/>
      <c r="FX146" s="195"/>
      <c r="FY146" s="196"/>
      <c r="GB146" s="195"/>
      <c r="GC146" s="196"/>
      <c r="GF146" s="195"/>
      <c r="GG146" s="196"/>
      <c r="GJ146" s="195"/>
      <c r="GK146" s="196"/>
      <c r="GN146" s="195"/>
      <c r="GO146" s="196"/>
      <c r="GR146" s="195"/>
      <c r="GS146" s="196"/>
      <c r="GV146" s="195"/>
      <c r="GW146" s="196"/>
      <c r="GZ146" s="195"/>
      <c r="HA146" s="196"/>
      <c r="HD146" s="195"/>
      <c r="HE146" s="196"/>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194" customFormat="1" ht="89.25" x14ac:dyDescent="0.2">
      <c r="B147" s="194" t="s">
        <v>324</v>
      </c>
      <c r="C147" s="195"/>
      <c r="D147" s="196"/>
      <c r="E147" s="196"/>
      <c r="F147" s="196"/>
      <c r="G147" s="196"/>
      <c r="H147" s="196"/>
      <c r="I147" s="196"/>
      <c r="J147" s="195"/>
      <c r="K147" s="196"/>
      <c r="O147" s="196"/>
      <c r="U147" s="195"/>
      <c r="V147" s="196"/>
      <c r="AB147" s="195"/>
      <c r="AC147" s="196"/>
      <c r="AF147" s="195"/>
      <c r="AG147" s="196"/>
      <c r="AJ147" s="195"/>
      <c r="AK147" s="196"/>
      <c r="AP147" s="195"/>
      <c r="AQ147" s="196"/>
      <c r="AW147" s="195"/>
      <c r="AX147" s="196"/>
      <c r="BB147" s="196"/>
      <c r="BC147" s="196"/>
      <c r="BD147" s="196"/>
      <c r="BF147" s="196"/>
      <c r="BG147" s="196"/>
      <c r="BH147" s="196"/>
      <c r="BI147" s="196"/>
      <c r="BJ147" s="196"/>
      <c r="BK147" s="196"/>
      <c r="BM147" s="196"/>
      <c r="BN147" s="196" t="s">
        <v>325</v>
      </c>
      <c r="BO147" s="196" t="s">
        <v>326</v>
      </c>
      <c r="BP147" s="196"/>
      <c r="BQ147" s="196"/>
      <c r="BR147" s="196"/>
      <c r="BS147" s="195"/>
      <c r="BT147" s="196"/>
      <c r="BU147" s="196"/>
      <c r="BV147" s="196"/>
      <c r="BX147" s="196"/>
      <c r="CA147" s="195"/>
      <c r="CB147" s="196"/>
      <c r="CG147" s="195"/>
      <c r="CH147" s="196"/>
      <c r="CK147" s="195"/>
      <c r="CL147" s="196"/>
      <c r="CR147" s="195"/>
      <c r="CS147" s="196"/>
      <c r="CV147" s="195"/>
      <c r="CW147" s="196"/>
      <c r="DB147" s="195"/>
      <c r="DC147" s="196"/>
      <c r="DF147" s="195"/>
      <c r="DG147" s="196"/>
      <c r="DH147" s="194" t="s">
        <v>327</v>
      </c>
      <c r="DI147" s="194" t="s">
        <v>328</v>
      </c>
      <c r="DN147" s="196"/>
      <c r="DO147" s="194" t="s">
        <v>329</v>
      </c>
      <c r="DP147" s="194" t="s">
        <v>321</v>
      </c>
      <c r="DT147" s="195"/>
      <c r="DU147" s="196"/>
      <c r="DX147" s="195"/>
      <c r="DY147" s="196"/>
      <c r="DZ147" s="194" t="s">
        <v>330</v>
      </c>
      <c r="EA147" s="194" t="s">
        <v>323</v>
      </c>
      <c r="EB147" s="195"/>
      <c r="EC147" s="196"/>
      <c r="EF147" s="195"/>
      <c r="EG147" s="196"/>
      <c r="EJ147" s="195"/>
      <c r="EK147" s="196"/>
      <c r="EN147" s="195"/>
      <c r="EO147" s="196"/>
      <c r="ER147" s="195"/>
      <c r="ES147" s="196"/>
      <c r="EV147" s="195"/>
      <c r="EW147" s="196"/>
      <c r="EZ147" s="195"/>
      <c r="FA147" s="196"/>
      <c r="FD147" s="195"/>
      <c r="FE147" s="196"/>
      <c r="FH147" s="195"/>
      <c r="FI147" s="196"/>
      <c r="FL147" s="195"/>
      <c r="FM147" s="196"/>
      <c r="FP147" s="195"/>
      <c r="FQ147" s="196"/>
      <c r="FT147" s="195"/>
      <c r="FU147" s="196"/>
      <c r="FX147" s="195"/>
      <c r="FY147" s="196"/>
      <c r="GB147" s="195"/>
      <c r="GC147" s="196"/>
      <c r="GF147" s="195"/>
      <c r="GG147" s="196"/>
      <c r="GJ147" s="195"/>
      <c r="GK147" s="196"/>
      <c r="GN147" s="195"/>
      <c r="GO147" s="196"/>
      <c r="GR147" s="195"/>
      <c r="GS147" s="196"/>
      <c r="GV147" s="195"/>
      <c r="GW147" s="196"/>
      <c r="GZ147" s="195"/>
      <c r="HA147" s="196"/>
      <c r="HD147" s="195"/>
      <c r="HE147" s="196"/>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194" customFormat="1" ht="51" x14ac:dyDescent="0.2">
      <c r="B148" s="194" t="s">
        <v>331</v>
      </c>
      <c r="C148" s="195"/>
      <c r="D148" s="196"/>
      <c r="E148" s="196"/>
      <c r="F148" s="196"/>
      <c r="G148" s="196"/>
      <c r="H148" s="196"/>
      <c r="I148" s="196"/>
      <c r="J148" s="195"/>
      <c r="K148" s="196"/>
      <c r="O148" s="196"/>
      <c r="U148" s="195"/>
      <c r="V148" s="196"/>
      <c r="AB148" s="195"/>
      <c r="AC148" s="196"/>
      <c r="AF148" s="195"/>
      <c r="AG148" s="196"/>
      <c r="AJ148" s="195"/>
      <c r="AK148" s="196"/>
      <c r="AP148" s="195"/>
      <c r="AQ148" s="196"/>
      <c r="AW148" s="195"/>
      <c r="AX148" s="196"/>
      <c r="BB148" s="196"/>
      <c r="BC148" s="196"/>
      <c r="BD148" s="196"/>
      <c r="BF148" s="196"/>
      <c r="BG148" s="196"/>
      <c r="BH148" s="196"/>
      <c r="BI148" s="196"/>
      <c r="BJ148" s="196"/>
      <c r="BK148" s="196"/>
      <c r="BM148" s="196"/>
      <c r="BN148" s="196" t="s">
        <v>332</v>
      </c>
      <c r="BO148" s="196" t="s">
        <v>333</v>
      </c>
      <c r="BP148" s="196"/>
      <c r="BQ148" s="196"/>
      <c r="BR148" s="196"/>
      <c r="BS148" s="195"/>
      <c r="BT148" s="196"/>
      <c r="BU148" s="196"/>
      <c r="BV148" s="196"/>
      <c r="BX148" s="196"/>
      <c r="CA148" s="195"/>
      <c r="CB148" s="196"/>
      <c r="CG148" s="195"/>
      <c r="CH148" s="196"/>
      <c r="CK148" s="195"/>
      <c r="CL148" s="196"/>
      <c r="CR148" s="195"/>
      <c r="CS148" s="196"/>
      <c r="CV148" s="195"/>
      <c r="CW148" s="196"/>
      <c r="DB148" s="195"/>
      <c r="DC148" s="196"/>
      <c r="DF148" s="195"/>
      <c r="DG148" s="196"/>
      <c r="DN148" s="196"/>
      <c r="DT148" s="195"/>
      <c r="DU148" s="196"/>
      <c r="DX148" s="195"/>
      <c r="DY148" s="196"/>
      <c r="DZ148" s="194" t="s">
        <v>334</v>
      </c>
      <c r="EA148" s="194" t="s">
        <v>323</v>
      </c>
      <c r="EB148" s="195"/>
      <c r="EC148" s="196"/>
      <c r="EF148" s="195"/>
      <c r="EG148" s="196"/>
      <c r="EJ148" s="195"/>
      <c r="EK148" s="196"/>
      <c r="EN148" s="195"/>
      <c r="EO148" s="196"/>
      <c r="ER148" s="195"/>
      <c r="ES148" s="196"/>
      <c r="EV148" s="195"/>
      <c r="EW148" s="196"/>
      <c r="EZ148" s="195"/>
      <c r="FA148" s="196"/>
      <c r="FD148" s="195"/>
      <c r="FE148" s="196"/>
      <c r="FH148" s="195"/>
      <c r="FI148" s="196"/>
      <c r="FL148" s="195"/>
      <c r="FM148" s="196"/>
      <c r="FP148" s="195"/>
      <c r="FQ148" s="196"/>
      <c r="FT148" s="195"/>
      <c r="FU148" s="196"/>
      <c r="FX148" s="195"/>
      <c r="FY148" s="196"/>
      <c r="GB148" s="195"/>
      <c r="GC148" s="196"/>
      <c r="GF148" s="195"/>
      <c r="GG148" s="196"/>
      <c r="GJ148" s="195"/>
      <c r="GK148" s="196"/>
      <c r="GN148" s="195"/>
      <c r="GO148" s="196"/>
      <c r="GR148" s="195"/>
      <c r="GS148" s="196"/>
      <c r="GV148" s="195"/>
      <c r="GW148" s="196"/>
      <c r="GZ148" s="195"/>
      <c r="HA148" s="196"/>
      <c r="HD148" s="195"/>
      <c r="HE148" s="196"/>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194" customFormat="1" x14ac:dyDescent="0.2">
      <c r="C149" s="195"/>
      <c r="D149" s="196"/>
      <c r="E149" s="196"/>
      <c r="F149" s="196"/>
      <c r="G149" s="196"/>
      <c r="H149" s="196"/>
      <c r="I149" s="196"/>
      <c r="J149" s="195"/>
      <c r="K149" s="196"/>
      <c r="O149" s="196"/>
      <c r="U149" s="195"/>
      <c r="V149" s="196"/>
      <c r="AB149" s="195"/>
      <c r="AC149" s="196"/>
      <c r="AF149" s="195"/>
      <c r="AG149" s="196"/>
      <c r="AJ149" s="195"/>
      <c r="AK149" s="196"/>
      <c r="AP149" s="195"/>
      <c r="AQ149" s="196"/>
      <c r="AW149" s="195"/>
      <c r="AX149" s="196"/>
      <c r="BB149" s="196"/>
      <c r="BC149" s="196"/>
      <c r="BD149" s="196"/>
      <c r="BF149" s="196"/>
      <c r="BG149" s="196"/>
      <c r="BH149" s="196"/>
      <c r="BI149" s="196"/>
      <c r="BJ149" s="196"/>
      <c r="BK149" s="196"/>
      <c r="BM149" s="196"/>
      <c r="BN149" s="196"/>
      <c r="BO149" s="196"/>
      <c r="BP149" s="196"/>
      <c r="BQ149" s="196"/>
      <c r="BR149" s="196"/>
      <c r="BS149" s="195"/>
      <c r="BT149" s="196"/>
      <c r="BU149" s="196"/>
      <c r="BV149" s="196"/>
      <c r="BX149" s="196"/>
      <c r="CA149" s="195"/>
      <c r="CB149" s="196"/>
      <c r="CG149" s="195"/>
      <c r="CH149" s="196"/>
      <c r="CK149" s="195"/>
      <c r="CL149" s="196"/>
      <c r="CR149" s="195"/>
      <c r="CS149" s="196"/>
      <c r="CV149" s="195"/>
      <c r="CW149" s="196"/>
      <c r="DB149" s="195"/>
      <c r="DC149" s="196"/>
      <c r="DF149" s="195"/>
      <c r="DG149" s="196"/>
      <c r="DN149" s="196"/>
      <c r="DT149" s="195"/>
      <c r="DU149" s="196"/>
      <c r="DX149" s="195"/>
      <c r="DY149" s="196"/>
      <c r="EB149" s="195"/>
      <c r="EC149" s="196"/>
      <c r="EF149" s="195"/>
      <c r="EG149" s="196"/>
      <c r="EJ149" s="195"/>
      <c r="EK149" s="196"/>
      <c r="EN149" s="195"/>
      <c r="EO149" s="196"/>
      <c r="ER149" s="195"/>
      <c r="ES149" s="196"/>
      <c r="EV149" s="195"/>
      <c r="EW149" s="196"/>
      <c r="EZ149" s="195"/>
      <c r="FA149" s="196"/>
      <c r="FD149" s="195"/>
      <c r="FE149" s="196"/>
      <c r="FH149" s="195"/>
      <c r="FI149" s="196"/>
      <c r="FL149" s="195"/>
      <c r="FM149" s="196"/>
      <c r="FP149" s="195"/>
      <c r="FQ149" s="196"/>
      <c r="FT149" s="195"/>
      <c r="FU149" s="196"/>
      <c r="FX149" s="195"/>
      <c r="FY149" s="196"/>
      <c r="GB149" s="195"/>
      <c r="GC149" s="196"/>
      <c r="GF149" s="195"/>
      <c r="GG149" s="196"/>
      <c r="GJ149" s="195"/>
      <c r="GK149" s="196"/>
      <c r="GN149" s="195"/>
      <c r="GO149" s="196"/>
      <c r="GR149" s="195"/>
      <c r="GS149" s="196"/>
      <c r="GV149" s="195"/>
      <c r="GW149" s="196"/>
      <c r="GZ149" s="195"/>
      <c r="HA149" s="196"/>
      <c r="HD149" s="195"/>
      <c r="HE149" s="196"/>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194" customFormat="1" x14ac:dyDescent="0.2">
      <c r="C150" s="195"/>
      <c r="D150" s="196"/>
      <c r="E150" s="196"/>
      <c r="F150" s="196"/>
      <c r="G150" s="196"/>
      <c r="H150" s="196"/>
      <c r="I150" s="196"/>
      <c r="J150" s="195"/>
      <c r="K150" s="196"/>
      <c r="O150" s="196"/>
      <c r="U150" s="195"/>
      <c r="V150" s="196"/>
      <c r="AB150" s="195"/>
      <c r="AC150" s="196"/>
      <c r="AF150" s="195"/>
      <c r="AG150" s="196"/>
      <c r="AJ150" s="195"/>
      <c r="AK150" s="196"/>
      <c r="AP150" s="195"/>
      <c r="AQ150" s="196"/>
      <c r="AW150" s="195"/>
      <c r="AX150" s="196"/>
      <c r="BB150" s="196"/>
      <c r="BC150" s="196"/>
      <c r="BD150" s="196"/>
      <c r="BF150" s="196"/>
      <c r="BG150" s="196"/>
      <c r="BH150" s="196"/>
      <c r="BI150" s="196"/>
      <c r="BJ150" s="196"/>
      <c r="BK150" s="196"/>
      <c r="BM150" s="196"/>
      <c r="BN150" s="196"/>
      <c r="BO150" s="196"/>
      <c r="BP150" s="196"/>
      <c r="BQ150" s="196"/>
      <c r="BR150" s="196"/>
      <c r="BS150" s="195"/>
      <c r="BT150" s="196"/>
      <c r="BU150" s="196"/>
      <c r="BV150" s="196"/>
      <c r="BX150" s="196"/>
      <c r="CA150" s="195"/>
      <c r="CB150" s="196"/>
      <c r="CG150" s="195"/>
      <c r="CH150" s="196"/>
      <c r="CK150" s="195"/>
      <c r="CL150" s="196"/>
      <c r="CR150" s="195"/>
      <c r="CS150" s="196"/>
      <c r="CV150" s="195"/>
      <c r="CW150" s="196"/>
      <c r="DB150" s="195"/>
      <c r="DC150" s="196"/>
      <c r="DF150" s="195"/>
      <c r="DG150" s="196"/>
      <c r="DN150" s="196"/>
      <c r="DT150" s="195"/>
      <c r="DU150" s="196"/>
      <c r="DX150" s="195"/>
      <c r="DY150" s="196"/>
      <c r="EB150" s="195"/>
      <c r="EC150" s="196"/>
      <c r="EF150" s="195"/>
      <c r="EG150" s="196"/>
      <c r="EJ150" s="195"/>
      <c r="EK150" s="196"/>
      <c r="EN150" s="195"/>
      <c r="EO150" s="196"/>
      <c r="ER150" s="195"/>
      <c r="ES150" s="196"/>
      <c r="EV150" s="195"/>
      <c r="EW150" s="196"/>
      <c r="EZ150" s="195"/>
      <c r="FA150" s="196"/>
      <c r="FD150" s="195"/>
      <c r="FE150" s="196"/>
      <c r="FH150" s="195"/>
      <c r="FI150" s="196"/>
      <c r="FL150" s="195"/>
      <c r="FM150" s="196"/>
      <c r="FP150" s="195"/>
      <c r="FQ150" s="196"/>
      <c r="FT150" s="195"/>
      <c r="FU150" s="196"/>
      <c r="FX150" s="195"/>
      <c r="FY150" s="196"/>
      <c r="GB150" s="195"/>
      <c r="GC150" s="196"/>
      <c r="GF150" s="195"/>
      <c r="GG150" s="196"/>
      <c r="GJ150" s="195"/>
      <c r="GK150" s="196"/>
      <c r="GN150" s="195"/>
      <c r="GO150" s="196"/>
      <c r="GR150" s="195"/>
      <c r="GS150" s="196"/>
      <c r="GV150" s="195"/>
      <c r="GW150" s="196"/>
      <c r="GZ150" s="195"/>
      <c r="HA150" s="196"/>
      <c r="HD150" s="195"/>
      <c r="HE150" s="196"/>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194" customFormat="1" x14ac:dyDescent="0.2">
      <c r="C151" s="195"/>
      <c r="D151" s="196"/>
      <c r="E151" s="196"/>
      <c r="F151" s="196"/>
      <c r="G151" s="196"/>
      <c r="H151" s="196"/>
      <c r="I151" s="196"/>
      <c r="J151" s="195"/>
      <c r="K151" s="196"/>
      <c r="O151" s="196"/>
      <c r="U151" s="195"/>
      <c r="V151" s="196"/>
      <c r="AB151" s="195"/>
      <c r="AC151" s="196"/>
      <c r="AF151" s="195"/>
      <c r="AG151" s="196"/>
      <c r="AJ151" s="195"/>
      <c r="AK151" s="196"/>
      <c r="AP151" s="195"/>
      <c r="AQ151" s="196"/>
      <c r="AW151" s="195"/>
      <c r="AX151" s="196"/>
      <c r="BB151" s="196"/>
      <c r="BC151" s="196"/>
      <c r="BD151" s="196"/>
      <c r="BF151" s="196"/>
      <c r="BG151" s="196"/>
      <c r="BH151" s="196"/>
      <c r="BI151" s="196"/>
      <c r="BJ151" s="196"/>
      <c r="BK151" s="196"/>
      <c r="BM151" s="196"/>
      <c r="BN151" s="196"/>
      <c r="BO151" s="196"/>
      <c r="BP151" s="196"/>
      <c r="BQ151" s="196"/>
      <c r="BR151" s="196"/>
      <c r="BS151" s="195"/>
      <c r="BT151" s="196"/>
      <c r="BU151" s="196"/>
      <c r="BV151" s="196"/>
      <c r="BX151" s="196"/>
      <c r="CA151" s="195"/>
      <c r="CB151" s="196"/>
      <c r="CG151" s="195"/>
      <c r="CH151" s="196"/>
      <c r="CK151" s="195"/>
      <c r="CL151" s="196"/>
      <c r="CR151" s="195"/>
      <c r="CS151" s="196"/>
      <c r="CV151" s="195"/>
      <c r="CW151" s="196"/>
      <c r="DB151" s="195"/>
      <c r="DC151" s="196"/>
      <c r="DF151" s="195"/>
      <c r="DG151" s="196"/>
      <c r="DN151" s="196"/>
      <c r="DT151" s="195"/>
      <c r="DU151" s="196"/>
      <c r="DX151" s="195"/>
      <c r="DY151" s="196"/>
      <c r="EB151" s="195"/>
      <c r="EC151" s="196"/>
      <c r="EF151" s="195"/>
      <c r="EG151" s="196"/>
      <c r="EJ151" s="195"/>
      <c r="EK151" s="196"/>
      <c r="EN151" s="195"/>
      <c r="EO151" s="196"/>
      <c r="ER151" s="195"/>
      <c r="ES151" s="196"/>
      <c r="EV151" s="195"/>
      <c r="EW151" s="196"/>
      <c r="EZ151" s="195"/>
      <c r="FA151" s="196"/>
      <c r="FD151" s="195"/>
      <c r="FE151" s="196"/>
      <c r="FH151" s="195"/>
      <c r="FI151" s="196"/>
      <c r="FL151" s="195"/>
      <c r="FM151" s="196"/>
      <c r="FP151" s="195"/>
      <c r="FQ151" s="196"/>
      <c r="FT151" s="195"/>
      <c r="FU151" s="196"/>
      <c r="FX151" s="195"/>
      <c r="FY151" s="196"/>
      <c r="GB151" s="195"/>
      <c r="GC151" s="196"/>
      <c r="GF151" s="195"/>
      <c r="GG151" s="196"/>
      <c r="GJ151" s="195"/>
      <c r="GK151" s="196"/>
      <c r="GN151" s="195"/>
      <c r="GO151" s="196"/>
      <c r="GR151" s="195"/>
      <c r="GS151" s="196"/>
      <c r="GV151" s="195"/>
      <c r="GW151" s="196"/>
      <c r="GZ151" s="195"/>
      <c r="HA151" s="196"/>
      <c r="HD151" s="195"/>
      <c r="HE151" s="196"/>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x14ac:dyDescent="0.2">
      <c r="J152" s="114"/>
      <c r="K152" s="108"/>
      <c r="N152" s="7"/>
      <c r="U152" s="114"/>
      <c r="V152" s="108"/>
      <c r="AB152" s="114"/>
      <c r="AC152" s="108"/>
      <c r="AF152" s="114"/>
      <c r="AG152" s="108"/>
      <c r="AJ152" s="114"/>
      <c r="AK152" s="108"/>
      <c r="AP152" s="114"/>
      <c r="AQ152" s="108"/>
      <c r="AW152" s="114"/>
      <c r="AX152" s="108"/>
      <c r="BA152" s="9"/>
      <c r="BE152" s="9"/>
      <c r="BL152" s="9"/>
      <c r="BS152" s="114"/>
      <c r="CG152" s="114"/>
      <c r="CH152" s="108"/>
      <c r="CK152" s="114"/>
      <c r="CL152" s="108"/>
      <c r="CR152" s="114"/>
      <c r="CS152" s="108"/>
      <c r="CV152" s="114"/>
      <c r="CW152" s="108"/>
      <c r="DB152" s="114"/>
      <c r="DC152" s="108"/>
      <c r="DF152" s="114"/>
      <c r="DG152" s="108"/>
      <c r="DT152" s="114"/>
      <c r="DU152" s="108"/>
      <c r="DX152" s="114"/>
      <c r="DY152" s="108"/>
    </row>
    <row r="153" spans="1:256" x14ac:dyDescent="0.2">
      <c r="J153" s="114"/>
      <c r="K153" s="108"/>
      <c r="N153" s="7"/>
      <c r="U153" s="114"/>
      <c r="V153" s="108"/>
      <c r="AB153" s="114"/>
      <c r="AC153" s="108"/>
      <c r="AF153" s="114"/>
      <c r="AG153" s="108"/>
      <c r="AJ153" s="114"/>
      <c r="AK153" s="108"/>
      <c r="AP153" s="114"/>
      <c r="AQ153" s="108"/>
      <c r="AW153" s="114"/>
      <c r="AX153" s="108"/>
      <c r="BA153" s="9"/>
      <c r="BE153" s="9"/>
      <c r="BL153" s="9"/>
      <c r="BS153" s="114"/>
      <c r="CG153" s="114"/>
      <c r="CH153" s="108"/>
      <c r="CK153" s="114"/>
      <c r="CL153" s="108"/>
      <c r="CR153" s="114"/>
      <c r="CS153" s="108"/>
      <c r="CV153" s="114"/>
      <c r="CW153" s="108"/>
      <c r="DB153" s="114"/>
      <c r="DC153" s="108"/>
      <c r="DF153" s="114"/>
      <c r="DG153" s="108"/>
      <c r="DT153" s="114"/>
      <c r="DU153" s="108"/>
      <c r="DX153" s="114"/>
      <c r="DY153" s="108"/>
    </row>
    <row r="154" spans="1:256" x14ac:dyDescent="0.2">
      <c r="N154" s="7"/>
      <c r="BA154" s="9"/>
      <c r="BE154" s="9"/>
      <c r="BL154" s="9"/>
    </row>
    <row r="155" spans="1:256" x14ac:dyDescent="0.2">
      <c r="N155" s="7"/>
      <c r="BA155" s="9"/>
      <c r="BE155" s="9"/>
      <c r="BL155" s="9"/>
    </row>
    <row r="156" spans="1:256" x14ac:dyDescent="0.2">
      <c r="N156" s="7"/>
      <c r="BA156" s="9"/>
      <c r="BE156" s="9"/>
      <c r="BL156" s="9"/>
    </row>
    <row r="157" spans="1:256" x14ac:dyDescent="0.2">
      <c r="N157" s="7"/>
      <c r="BA157" s="9"/>
      <c r="BE157" s="9"/>
      <c r="BL157" s="9"/>
    </row>
    <row r="158" spans="1:256" x14ac:dyDescent="0.2">
      <c r="N158" s="7"/>
      <c r="BA158" s="9"/>
      <c r="BE158" s="9"/>
      <c r="BL158" s="9"/>
    </row>
    <row r="159" spans="1:256" x14ac:dyDescent="0.2">
      <c r="N159" s="7"/>
      <c r="BA159" s="9"/>
      <c r="BE159" s="9"/>
      <c r="BL159" s="9"/>
    </row>
    <row r="160" spans="1:256" x14ac:dyDescent="0.2">
      <c r="BA160" s="9"/>
      <c r="BE160" s="9"/>
      <c r="BL160" s="9"/>
    </row>
    <row r="161" spans="53:64" x14ac:dyDescent="0.2">
      <c r="BA161" s="9"/>
      <c r="BE161" s="9"/>
      <c r="BL161" s="9"/>
    </row>
    <row r="162" spans="53:64" x14ac:dyDescent="0.2">
      <c r="BA162" s="9"/>
      <c r="BE162" s="9"/>
      <c r="BL162" s="9"/>
    </row>
    <row r="163" spans="53:64" x14ac:dyDescent="0.2">
      <c r="BA163" s="9"/>
      <c r="BE163" s="9"/>
      <c r="BL163" s="9"/>
    </row>
    <row r="164" spans="53:64" x14ac:dyDescent="0.2">
      <c r="BA164" s="9"/>
      <c r="BE164" s="9"/>
      <c r="BL164" s="9"/>
    </row>
    <row r="165" spans="53:64" x14ac:dyDescent="0.2">
      <c r="BA165" s="9"/>
      <c r="BE165" s="9"/>
      <c r="BL165" s="9"/>
    </row>
    <row r="166" spans="53:64" x14ac:dyDescent="0.2">
      <c r="BA166" s="9"/>
      <c r="BE166" s="9"/>
      <c r="BL166" s="9"/>
    </row>
    <row r="167" spans="53:64" x14ac:dyDescent="0.2">
      <c r="BA167" s="9"/>
      <c r="BE167" s="9"/>
      <c r="BL167" s="9"/>
    </row>
    <row r="168" spans="53:64" x14ac:dyDescent="0.2">
      <c r="BA168" s="9"/>
      <c r="BE168" s="9"/>
      <c r="BL168" s="9"/>
    </row>
    <row r="169" spans="53:64" x14ac:dyDescent="0.2">
      <c r="BA169" s="9"/>
      <c r="BE169" s="9"/>
      <c r="BL169" s="9"/>
    </row>
    <row r="170" spans="53:64" x14ac:dyDescent="0.2">
      <c r="BA170" s="9"/>
      <c r="BE170" s="9"/>
      <c r="BL170" s="9"/>
    </row>
    <row r="171" spans="53:64" x14ac:dyDescent="0.2">
      <c r="BA171" s="9"/>
      <c r="BE171" s="9"/>
      <c r="BL171" s="9"/>
    </row>
    <row r="172" spans="53:64" x14ac:dyDescent="0.2">
      <c r="BA172" s="9"/>
      <c r="BE172" s="9"/>
      <c r="BL172" s="9"/>
    </row>
    <row r="173" spans="53:64" x14ac:dyDescent="0.2">
      <c r="BA173" s="9"/>
      <c r="BE173" s="9"/>
      <c r="BL173" s="9"/>
    </row>
    <row r="174" spans="53:64" x14ac:dyDescent="0.2">
      <c r="BA174" s="9"/>
      <c r="BE174" s="9"/>
      <c r="BL174" s="9"/>
    </row>
    <row r="175" spans="53:64" x14ac:dyDescent="0.2">
      <c r="BA175" s="9"/>
      <c r="BE175" s="9"/>
      <c r="BL175" s="9"/>
    </row>
    <row r="176" spans="53:64" x14ac:dyDescent="0.2">
      <c r="BA176" s="9"/>
      <c r="BE176" s="9"/>
      <c r="BL176" s="9"/>
    </row>
    <row r="177" spans="53:64" x14ac:dyDescent="0.2">
      <c r="BA177" s="9"/>
      <c r="BE177" s="9"/>
      <c r="BL177" s="9"/>
    </row>
    <row r="178" spans="53:64" x14ac:dyDescent="0.2">
      <c r="BA178" s="9"/>
      <c r="BE178" s="9"/>
      <c r="BL178" s="9"/>
    </row>
    <row r="179" spans="53:64" x14ac:dyDescent="0.2">
      <c r="BA179" s="9"/>
      <c r="BE179" s="9"/>
      <c r="BL179" s="9"/>
    </row>
    <row r="180" spans="53:64" x14ac:dyDescent="0.2">
      <c r="BA180" s="9"/>
      <c r="BE180" s="9"/>
      <c r="BL180" s="9"/>
    </row>
    <row r="181" spans="53:64" x14ac:dyDescent="0.2">
      <c r="BA181" s="9"/>
      <c r="BE181" s="9"/>
      <c r="BL181" s="9"/>
    </row>
    <row r="182" spans="53:64" x14ac:dyDescent="0.2">
      <c r="BA182" s="9"/>
      <c r="BE182" s="9"/>
      <c r="BL182" s="9"/>
    </row>
    <row r="183" spans="53:64" x14ac:dyDescent="0.2">
      <c r="BA183" s="9"/>
      <c r="BE183" s="9"/>
      <c r="BL183" s="9"/>
    </row>
    <row r="184" spans="53:64" x14ac:dyDescent="0.2">
      <c r="BA184" s="9"/>
      <c r="BE184" s="9"/>
      <c r="BL184" s="9"/>
    </row>
    <row r="185" spans="53:64" x14ac:dyDescent="0.2">
      <c r="BA185" s="9"/>
      <c r="BE185" s="9"/>
      <c r="BL185" s="9"/>
    </row>
    <row r="186" spans="53:64" x14ac:dyDescent="0.2">
      <c r="BA186" s="9"/>
      <c r="BE186" s="9"/>
      <c r="BL186" s="9"/>
    </row>
    <row r="187" spans="53:64" x14ac:dyDescent="0.2">
      <c r="BA187" s="9"/>
      <c r="BE187" s="9"/>
      <c r="BL187" s="9"/>
    </row>
    <row r="188" spans="53:64" x14ac:dyDescent="0.2">
      <c r="BA188" s="9"/>
      <c r="BE188" s="9"/>
      <c r="BL188" s="9"/>
    </row>
    <row r="189" spans="53:64" x14ac:dyDescent="0.2">
      <c r="BA189" s="9"/>
      <c r="BE189" s="9"/>
      <c r="BL189" s="9"/>
    </row>
    <row r="190" spans="53:64" x14ac:dyDescent="0.2">
      <c r="BA190" s="9"/>
      <c r="BE190" s="9"/>
      <c r="BL190" s="9"/>
    </row>
    <row r="191" spans="53:64" x14ac:dyDescent="0.2">
      <c r="BA191" s="9"/>
      <c r="BE191" s="9"/>
      <c r="BL191" s="9"/>
    </row>
    <row r="192" spans="53:64" x14ac:dyDescent="0.2">
      <c r="BA192" s="9"/>
      <c r="BE192" s="9"/>
      <c r="BL192" s="9"/>
    </row>
    <row r="193" spans="53:64" x14ac:dyDescent="0.2">
      <c r="BA193" s="9"/>
      <c r="BE193" s="9"/>
      <c r="BL193" s="9"/>
    </row>
    <row r="194" spans="53:64" x14ac:dyDescent="0.2">
      <c r="BA194" s="9"/>
      <c r="BE194" s="9"/>
      <c r="BL194" s="9"/>
    </row>
    <row r="195" spans="53:64" x14ac:dyDescent="0.2">
      <c r="BA195" s="9"/>
      <c r="BE195" s="9"/>
      <c r="BL195" s="9"/>
    </row>
    <row r="196" spans="53:64" x14ac:dyDescent="0.2">
      <c r="BA196" s="9"/>
      <c r="BE196" s="9"/>
      <c r="BL196" s="9"/>
    </row>
    <row r="197" spans="53:64" x14ac:dyDescent="0.2">
      <c r="BA197" s="9"/>
      <c r="BE197" s="9"/>
      <c r="BL197" s="9"/>
    </row>
    <row r="198" spans="53:64" x14ac:dyDescent="0.2">
      <c r="BA198" s="9"/>
      <c r="BE198" s="9"/>
      <c r="BL198" s="9"/>
    </row>
    <row r="199" spans="53:64" x14ac:dyDescent="0.2">
      <c r="BA199" s="9"/>
      <c r="BE199" s="9"/>
      <c r="BL199" s="9"/>
    </row>
    <row r="200" spans="53:64" x14ac:dyDescent="0.2">
      <c r="BA200" s="9"/>
      <c r="BE200" s="9"/>
      <c r="BL200" s="9"/>
    </row>
    <row r="201" spans="53:64" x14ac:dyDescent="0.2">
      <c r="BA201" s="9"/>
      <c r="BE201" s="9"/>
      <c r="BL201" s="9"/>
    </row>
    <row r="202" spans="53:64" x14ac:dyDescent="0.2">
      <c r="BA202" s="9"/>
      <c r="BE202" s="9"/>
      <c r="BL202" s="9"/>
    </row>
    <row r="203" spans="53:64" x14ac:dyDescent="0.2">
      <c r="BA203" s="9"/>
      <c r="BE203" s="9"/>
      <c r="BL203" s="9"/>
    </row>
    <row r="204" spans="53:64" x14ac:dyDescent="0.2">
      <c r="BA204" s="9"/>
      <c r="BE204" s="9"/>
      <c r="BL204" s="9"/>
    </row>
    <row r="205" spans="53:64" x14ac:dyDescent="0.2">
      <c r="BA205" s="9"/>
      <c r="BE205" s="9"/>
      <c r="BL205" s="9"/>
    </row>
    <row r="206" spans="53:64" x14ac:dyDescent="0.2">
      <c r="BA206" s="9"/>
      <c r="BE206" s="9"/>
      <c r="BL206" s="9"/>
    </row>
    <row r="207" spans="53:64" x14ac:dyDescent="0.2">
      <c r="BA207" s="9"/>
      <c r="BE207" s="9"/>
      <c r="BL207" s="9"/>
    </row>
  </sheetData>
  <hyperlinks>
    <hyperlink ref="W1" location="'Overview'!$A$1" display="'Overview'!$A$1"/>
  </hyperlinks>
  <pageMargins left="0.75" right="0.75" top="1" bottom="1" header="0.5" footer="0.5"/>
  <pageSetup paperSize="9" orientation="portrait" r:id="rId1"/>
  <headerFooter alignWithMargins="0">
    <oddFooter>&amp;LData preparation NBFI Financial DATA.xls&amp;R&amp;"Arial,Bold"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CD151"/>
  <sheetViews>
    <sheetView zoomScale="75" workbookViewId="0">
      <pane xSplit="2" ySplit="4" topLeftCell="C5" activePane="bottomRight" state="frozen"/>
      <selection activeCell="V39" sqref="V39"/>
      <selection pane="topRight" activeCell="V39" sqref="V39"/>
      <selection pane="bottomLeft" activeCell="V39" sqref="V39"/>
      <selection pane="bottomRight" activeCell="M1" sqref="M1"/>
    </sheetView>
  </sheetViews>
  <sheetFormatPr defaultRowHeight="12.75" outlineLevelCol="1" x14ac:dyDescent="0.2"/>
  <cols>
    <col min="1" max="1" width="3.85546875" style="13" customWidth="1"/>
    <col min="2" max="2" width="16.140625" style="6" customWidth="1"/>
    <col min="3" max="3" width="9.140625" style="9"/>
    <col min="4" max="4" width="9.140625" style="10" outlineLevel="1"/>
    <col min="5" max="5" width="20.140625" style="6" customWidth="1" outlineLevel="1"/>
    <col min="6" max="6" width="10.5703125" style="6" customWidth="1" outlineLevel="1"/>
    <col min="7" max="7" width="9.140625" style="9"/>
    <col min="8" max="8" width="9.140625" style="10" outlineLevel="1"/>
    <col min="9" max="9" width="18.7109375" style="6" customWidth="1" outlineLevel="1"/>
    <col min="10" max="10" width="10.5703125" style="6" customWidth="1" outlineLevel="1"/>
    <col min="11" max="11" width="9.140625" style="9"/>
    <col min="12" max="12" width="9.140625" style="10" outlineLevel="1"/>
    <col min="13" max="13" width="15.85546875" style="6" customWidth="1" outlineLevel="1"/>
    <col min="14" max="14" width="10.5703125" style="6" customWidth="1" outlineLevel="1"/>
    <col min="15" max="15" width="9.140625" style="9"/>
    <col min="16" max="16" width="9.140625" style="10" outlineLevel="1"/>
    <col min="17" max="17" width="10.7109375" style="6" customWidth="1" outlineLevel="1"/>
    <col min="18" max="18" width="10.5703125" style="6" customWidth="1" outlineLevel="1"/>
    <col min="19" max="19" width="9.140625" style="9"/>
    <col min="20" max="20" width="9.140625" style="10" outlineLevel="1"/>
    <col min="21" max="21" width="13" style="6" customWidth="1" outlineLevel="1"/>
    <col min="22" max="22" width="10.5703125" style="6" customWidth="1" outlineLevel="1"/>
    <col min="23" max="23" width="9.140625" style="9"/>
    <col min="24" max="24" width="9.140625" style="10" outlineLevel="1"/>
    <col min="25" max="25" width="11" style="6" customWidth="1" outlineLevel="1"/>
    <col min="26" max="26" width="10.5703125" style="6" customWidth="1" outlineLevel="1"/>
    <col min="27" max="27" width="9.140625" style="9"/>
    <col min="28" max="28" width="9.140625" style="10" outlineLevel="1"/>
    <col min="29" max="29" width="16.7109375" style="6" customWidth="1" outlineLevel="1"/>
    <col min="30" max="30" width="10.5703125" style="6" customWidth="1" outlineLevel="1"/>
    <col min="31" max="31" width="9.140625" style="9"/>
    <col min="32" max="32" width="9.140625" style="10" outlineLevel="1"/>
    <col min="33" max="33" width="17.5703125" style="6" customWidth="1" outlineLevel="1"/>
    <col min="34" max="34" width="10.5703125" style="6" customWidth="1" outlineLevel="1"/>
    <col min="35" max="35" width="10" style="9" customWidth="1"/>
    <col min="36" max="36" width="10" style="10" customWidth="1" outlineLevel="1"/>
    <col min="37" max="37" width="12.42578125" style="6" customWidth="1" outlineLevel="1"/>
    <col min="38" max="38" width="10.5703125" style="6" customWidth="1" outlineLevel="1"/>
    <col min="39" max="39" width="9.140625" style="9"/>
    <col min="40" max="40" width="9.140625" style="10" outlineLevel="1"/>
    <col min="41" max="41" width="16.7109375" style="6" customWidth="1" outlineLevel="1"/>
    <col min="42" max="42" width="10.5703125" style="6" customWidth="1" outlineLevel="1"/>
    <col min="43" max="43" width="9.140625" style="9"/>
    <col min="44" max="44" width="9.140625" style="10" outlineLevel="1"/>
    <col min="45" max="45" width="17.85546875" style="6" customWidth="1" outlineLevel="1"/>
    <col min="46" max="46" width="10.5703125" style="6" customWidth="1" outlineLevel="1"/>
    <col min="47" max="47" width="9.140625" style="9"/>
    <col min="48" max="48" width="9.140625" style="10" outlineLevel="1"/>
    <col min="49" max="49" width="14.42578125" style="6" customWidth="1" outlineLevel="1"/>
    <col min="50" max="50" width="10.5703125" style="6" customWidth="1" outlineLevel="1"/>
    <col min="51" max="51" width="9.140625" style="9"/>
    <col min="52" max="52" width="9.140625" style="10" outlineLevel="1"/>
    <col min="53" max="53" width="13.85546875" style="6" customWidth="1" outlineLevel="1"/>
    <col min="54" max="54" width="10.5703125" style="6" customWidth="1" outlineLevel="1"/>
    <col min="55" max="55" width="9.140625" style="9"/>
    <col min="56" max="56" width="9.140625" style="10" outlineLevel="1"/>
    <col min="57" max="57" width="9" style="6" customWidth="1" outlineLevel="1"/>
    <col min="58" max="58" width="10.5703125" style="6" customWidth="1" outlineLevel="1"/>
    <col min="59" max="59" width="9.140625" style="9"/>
    <col min="60" max="60" width="9.140625" style="10" outlineLevel="1"/>
    <col min="61" max="61" width="13.85546875" style="6" customWidth="1" outlineLevel="1"/>
    <col min="62" max="62" width="10.5703125" style="6" customWidth="1" outlineLevel="1"/>
    <col min="63" max="63" width="11.140625" style="9" customWidth="1"/>
    <col min="64" max="64" width="11.140625" style="10" customWidth="1" outlineLevel="1"/>
    <col min="65" max="65" width="20.42578125" style="6" customWidth="1" outlineLevel="1"/>
    <col min="66" max="66" width="10.5703125" style="6" customWidth="1" outlineLevel="1"/>
    <col min="67" max="67" width="11.140625" style="9" customWidth="1"/>
    <col min="68" max="68" width="11.140625" style="10" customWidth="1" outlineLevel="1"/>
    <col min="69" max="69" width="12.140625" style="6" customWidth="1" outlineLevel="1"/>
    <col min="70" max="70" width="11" style="6" customWidth="1" outlineLevel="1"/>
    <col min="71" max="71" width="11.140625" style="9" customWidth="1"/>
    <col min="72" max="72" width="11.140625" style="10" customWidth="1" outlineLevel="1"/>
    <col min="73" max="73" width="13.5703125" style="6" customWidth="1" outlineLevel="1"/>
    <col min="74" max="74" width="10.5703125" style="6" customWidth="1" outlineLevel="1"/>
    <col min="75" max="75" width="11.140625" style="9" customWidth="1"/>
    <col min="76" max="76" width="11.140625" style="10" customWidth="1" outlineLevel="1"/>
    <col min="77" max="77" width="20.140625" style="6" customWidth="1" outlineLevel="1"/>
    <col min="78" max="78" width="10.5703125" style="6" customWidth="1" outlineLevel="1"/>
    <col min="79" max="79" width="11.140625" style="9" customWidth="1"/>
    <col min="80" max="80" width="11.140625" style="10" customWidth="1" outlineLevel="1"/>
    <col min="81" max="81" width="14.140625" style="6" customWidth="1" outlineLevel="1"/>
    <col min="82" max="82" width="10.5703125" style="6" customWidth="1" outlineLevel="1"/>
    <col min="83" max="16384" width="9.140625" style="2"/>
  </cols>
  <sheetData>
    <row r="1" spans="1:82" x14ac:dyDescent="0.2">
      <c r="A1" s="4" t="s">
        <v>335</v>
      </c>
      <c r="M1" s="11"/>
    </row>
    <row r="2" spans="1:82" s="14" customFormat="1" ht="51" customHeight="1" x14ac:dyDescent="0.2">
      <c r="B2" s="15" t="s">
        <v>80</v>
      </c>
      <c r="C2" s="16" t="s">
        <v>41</v>
      </c>
      <c r="D2" s="18" t="s">
        <v>41</v>
      </c>
      <c r="E2" s="18" t="s">
        <v>41</v>
      </c>
      <c r="F2" s="18" t="s">
        <v>41</v>
      </c>
      <c r="G2" s="16" t="s">
        <v>42</v>
      </c>
      <c r="H2" s="18" t="s">
        <v>42</v>
      </c>
      <c r="I2" s="18" t="s">
        <v>42</v>
      </c>
      <c r="J2" s="18" t="s">
        <v>42</v>
      </c>
      <c r="K2" s="19" t="s">
        <v>336</v>
      </c>
      <c r="L2" s="18" t="s">
        <v>336</v>
      </c>
      <c r="M2" s="18" t="s">
        <v>336</v>
      </c>
      <c r="N2" s="18" t="s">
        <v>336</v>
      </c>
      <c r="O2" s="16" t="s">
        <v>337</v>
      </c>
      <c r="P2" s="18" t="s">
        <v>337</v>
      </c>
      <c r="Q2" s="18" t="s">
        <v>337</v>
      </c>
      <c r="R2" s="18" t="s">
        <v>337</v>
      </c>
      <c r="S2" s="16" t="s">
        <v>43</v>
      </c>
      <c r="T2" s="18" t="s">
        <v>43</v>
      </c>
      <c r="U2" s="18" t="s">
        <v>43</v>
      </c>
      <c r="V2" s="18" t="s">
        <v>43</v>
      </c>
      <c r="W2" s="16" t="s">
        <v>338</v>
      </c>
      <c r="X2" s="18" t="s">
        <v>338</v>
      </c>
      <c r="Y2" s="18" t="s">
        <v>338</v>
      </c>
      <c r="Z2" s="18" t="s">
        <v>338</v>
      </c>
      <c r="AA2" s="16" t="s">
        <v>45</v>
      </c>
      <c r="AB2" s="18" t="s">
        <v>45</v>
      </c>
      <c r="AC2" s="18" t="s">
        <v>45</v>
      </c>
      <c r="AD2" s="18" t="s">
        <v>45</v>
      </c>
      <c r="AE2" s="16" t="s">
        <v>44</v>
      </c>
      <c r="AF2" s="18" t="s">
        <v>44</v>
      </c>
      <c r="AG2" s="18" t="s">
        <v>44</v>
      </c>
      <c r="AH2" s="18" t="s">
        <v>44</v>
      </c>
      <c r="AI2" s="16" t="s">
        <v>46</v>
      </c>
      <c r="AJ2" s="18" t="s">
        <v>46</v>
      </c>
      <c r="AK2" s="18" t="s">
        <v>46</v>
      </c>
      <c r="AL2" s="18" t="s">
        <v>46</v>
      </c>
      <c r="AM2" s="16" t="s">
        <v>74</v>
      </c>
      <c r="AN2" s="18" t="s">
        <v>74</v>
      </c>
      <c r="AO2" s="18" t="s">
        <v>74</v>
      </c>
      <c r="AP2" s="18" t="s">
        <v>74</v>
      </c>
      <c r="AQ2" s="16" t="s">
        <v>47</v>
      </c>
      <c r="AR2" s="18" t="s">
        <v>47</v>
      </c>
      <c r="AS2" s="18" t="s">
        <v>47</v>
      </c>
      <c r="AT2" s="18" t="s">
        <v>47</v>
      </c>
      <c r="AU2" s="16" t="s">
        <v>339</v>
      </c>
      <c r="AV2" s="18" t="s">
        <v>339</v>
      </c>
      <c r="AW2" s="18" t="s">
        <v>339</v>
      </c>
      <c r="AX2" s="18" t="s">
        <v>339</v>
      </c>
      <c r="AY2" s="16" t="s">
        <v>48</v>
      </c>
      <c r="AZ2" s="18" t="s">
        <v>48</v>
      </c>
      <c r="BA2" s="18" t="s">
        <v>48</v>
      </c>
      <c r="BB2" s="18" t="s">
        <v>48</v>
      </c>
      <c r="BC2" s="16" t="s">
        <v>49</v>
      </c>
      <c r="BD2" s="18" t="s">
        <v>49</v>
      </c>
      <c r="BE2" s="18" t="s">
        <v>49</v>
      </c>
      <c r="BF2" s="18" t="s">
        <v>49</v>
      </c>
      <c r="BG2" s="16" t="s">
        <v>50</v>
      </c>
      <c r="BH2" s="18" t="s">
        <v>50</v>
      </c>
      <c r="BI2" s="18" t="s">
        <v>50</v>
      </c>
      <c r="BJ2" s="18" t="s">
        <v>50</v>
      </c>
      <c r="BK2" s="16" t="s">
        <v>51</v>
      </c>
      <c r="BL2" s="18" t="s">
        <v>51</v>
      </c>
      <c r="BM2" s="18" t="s">
        <v>51</v>
      </c>
      <c r="BN2" s="18" t="s">
        <v>51</v>
      </c>
      <c r="BO2" s="16" t="s">
        <v>74</v>
      </c>
      <c r="BP2" s="18" t="s">
        <v>74</v>
      </c>
      <c r="BQ2" s="18" t="s">
        <v>74</v>
      </c>
      <c r="BR2" s="18" t="s">
        <v>74</v>
      </c>
      <c r="BS2" s="16" t="s">
        <v>340</v>
      </c>
      <c r="BT2" s="18" t="s">
        <v>340</v>
      </c>
      <c r="BU2" s="18" t="s">
        <v>340</v>
      </c>
      <c r="BV2" s="18" t="s">
        <v>340</v>
      </c>
      <c r="BW2" s="16" t="s">
        <v>341</v>
      </c>
      <c r="BX2" s="18" t="s">
        <v>341</v>
      </c>
      <c r="BY2" s="18" t="s">
        <v>341</v>
      </c>
      <c r="BZ2" s="18" t="s">
        <v>341</v>
      </c>
      <c r="CA2" s="16" t="s">
        <v>52</v>
      </c>
      <c r="CB2" s="18" t="s">
        <v>52</v>
      </c>
      <c r="CC2" s="18" t="s">
        <v>52</v>
      </c>
      <c r="CD2" s="18" t="s">
        <v>52</v>
      </c>
    </row>
    <row r="3" spans="1:82" x14ac:dyDescent="0.2">
      <c r="A3" s="13" t="s">
        <v>101</v>
      </c>
      <c r="E3" s="20">
        <v>2004</v>
      </c>
      <c r="F3" s="20">
        <v>2003</v>
      </c>
      <c r="I3" s="20">
        <v>2004</v>
      </c>
      <c r="J3" s="20">
        <v>2003</v>
      </c>
      <c r="M3" s="20">
        <v>2003</v>
      </c>
      <c r="N3" s="20">
        <v>2002</v>
      </c>
      <c r="Q3" s="20">
        <v>2004</v>
      </c>
      <c r="R3" s="20">
        <v>2003</v>
      </c>
      <c r="U3" s="20">
        <v>2004</v>
      </c>
      <c r="V3" s="20">
        <v>2003</v>
      </c>
      <c r="Y3" s="20">
        <v>2004</v>
      </c>
      <c r="Z3" s="20">
        <v>2003</v>
      </c>
      <c r="AC3" s="20">
        <v>2004</v>
      </c>
      <c r="AD3" s="20">
        <v>2003</v>
      </c>
      <c r="AG3" s="20">
        <v>2004</v>
      </c>
      <c r="AH3" s="20">
        <v>2003</v>
      </c>
      <c r="AK3" s="20">
        <v>2004</v>
      </c>
      <c r="AL3" s="20">
        <v>2003</v>
      </c>
      <c r="AO3" s="20">
        <v>2004</v>
      </c>
      <c r="AP3" s="20">
        <v>2003</v>
      </c>
      <c r="AS3" s="20">
        <v>2004</v>
      </c>
      <c r="AT3" s="20">
        <v>2003</v>
      </c>
      <c r="AW3" s="20">
        <v>2004</v>
      </c>
      <c r="AX3" s="20">
        <v>2003</v>
      </c>
      <c r="BA3" s="20">
        <v>2004</v>
      </c>
      <c r="BB3" s="20">
        <v>2003</v>
      </c>
      <c r="BE3" s="20">
        <v>2004</v>
      </c>
      <c r="BF3" s="20">
        <v>2003</v>
      </c>
      <c r="BI3" s="20">
        <v>2004</v>
      </c>
      <c r="BJ3" s="20">
        <v>2003</v>
      </c>
      <c r="BM3" s="20">
        <v>2004</v>
      </c>
      <c r="BN3" s="20">
        <v>2003</v>
      </c>
      <c r="BQ3" s="20">
        <v>2004</v>
      </c>
      <c r="BR3" s="20">
        <v>2003</v>
      </c>
      <c r="BU3" s="20">
        <v>2004</v>
      </c>
      <c r="BV3" s="20">
        <v>2003</v>
      </c>
      <c r="BY3" s="20">
        <v>2004</v>
      </c>
      <c r="BZ3" s="20">
        <v>2003</v>
      </c>
      <c r="CC3" s="20">
        <v>2004</v>
      </c>
      <c r="CD3" s="20">
        <v>2003</v>
      </c>
    </row>
    <row r="4" spans="1:82" x14ac:dyDescent="0.2">
      <c r="A4" s="13" t="s">
        <v>102</v>
      </c>
      <c r="E4" s="20" t="s">
        <v>108</v>
      </c>
      <c r="F4" s="20" t="s">
        <v>108</v>
      </c>
      <c r="I4" s="20" t="s">
        <v>108</v>
      </c>
      <c r="J4" s="20" t="s">
        <v>108</v>
      </c>
      <c r="M4" s="20" t="s">
        <v>105</v>
      </c>
      <c r="N4" s="20" t="s">
        <v>105</v>
      </c>
      <c r="Q4" s="20" t="s">
        <v>108</v>
      </c>
      <c r="R4" s="20" t="s">
        <v>108</v>
      </c>
      <c r="U4" s="20" t="s">
        <v>108</v>
      </c>
      <c r="V4" s="20" t="s">
        <v>108</v>
      </c>
      <c r="Y4" s="20" t="s">
        <v>108</v>
      </c>
      <c r="Z4" s="20" t="s">
        <v>108</v>
      </c>
      <c r="AC4" s="20" t="s">
        <v>105</v>
      </c>
      <c r="AD4" s="20" t="s">
        <v>105</v>
      </c>
      <c r="AG4" s="20" t="s">
        <v>105</v>
      </c>
      <c r="AH4" s="20" t="s">
        <v>105</v>
      </c>
      <c r="AK4" s="20" t="s">
        <v>108</v>
      </c>
      <c r="AL4" s="20" t="s">
        <v>108</v>
      </c>
      <c r="AO4" s="20" t="s">
        <v>108</v>
      </c>
      <c r="AP4" s="20" t="s">
        <v>108</v>
      </c>
      <c r="AS4" s="20" t="s">
        <v>108</v>
      </c>
      <c r="AT4" s="20" t="s">
        <v>108</v>
      </c>
      <c r="AW4" s="20" t="s">
        <v>114</v>
      </c>
      <c r="AX4" s="20" t="s">
        <v>114</v>
      </c>
      <c r="BA4" s="20" t="s">
        <v>108</v>
      </c>
      <c r="BB4" s="20" t="s">
        <v>108</v>
      </c>
      <c r="BE4" s="20" t="s">
        <v>105</v>
      </c>
      <c r="BF4" s="20" t="s">
        <v>105</v>
      </c>
      <c r="BI4" s="20" t="s">
        <v>108</v>
      </c>
      <c r="BJ4" s="20" t="s">
        <v>108</v>
      </c>
      <c r="BM4" s="20" t="s">
        <v>105</v>
      </c>
      <c r="BN4" s="20" t="s">
        <v>105</v>
      </c>
      <c r="BQ4" s="20" t="s">
        <v>108</v>
      </c>
      <c r="BR4" s="20" t="s">
        <v>108</v>
      </c>
      <c r="BU4" s="20" t="s">
        <v>108</v>
      </c>
      <c r="BV4" s="20" t="s">
        <v>108</v>
      </c>
      <c r="BY4" s="20" t="s">
        <v>108</v>
      </c>
      <c r="BZ4" s="20" t="s">
        <v>108</v>
      </c>
      <c r="CC4" s="20" t="s">
        <v>108</v>
      </c>
      <c r="CD4" s="20" t="s">
        <v>342</v>
      </c>
    </row>
    <row r="5" spans="1:82" s="27" customFormat="1" x14ac:dyDescent="0.2">
      <c r="A5" s="23" t="s">
        <v>116</v>
      </c>
      <c r="B5" s="24"/>
      <c r="C5" s="25" t="str">
        <f t="shared" ref="C5:BN5" si="0">C2&amp;C3</f>
        <v>Instant Finance Ltd</v>
      </c>
      <c r="D5" s="25" t="str">
        <f>D2&amp;D3</f>
        <v>Instant Finance Ltd</v>
      </c>
      <c r="E5" s="25" t="str">
        <f>E2&amp;E3</f>
        <v>Instant Finance Ltd2004</v>
      </c>
      <c r="F5" s="25" t="str">
        <f t="shared" si="0"/>
        <v>Instant Finance Ltd2003</v>
      </c>
      <c r="G5" s="25" t="str">
        <f t="shared" si="0"/>
        <v>LDC Finance Ltd</v>
      </c>
      <c r="H5" s="25" t="str">
        <f t="shared" si="0"/>
        <v>LDC Finance Ltd</v>
      </c>
      <c r="I5" s="25" t="str">
        <f t="shared" si="0"/>
        <v>LDC Finance Ltd2004</v>
      </c>
      <c r="J5" s="25" t="str">
        <f t="shared" si="0"/>
        <v>LDC Finance Ltd2003</v>
      </c>
      <c r="K5" s="25" t="str">
        <f t="shared" si="0"/>
        <v>Liberty Financial Ltd</v>
      </c>
      <c r="L5" s="25" t="str">
        <f t="shared" si="0"/>
        <v>Liberty Financial Ltd</v>
      </c>
      <c r="M5" s="25" t="str">
        <f t="shared" si="0"/>
        <v>Liberty Financial Ltd2003</v>
      </c>
      <c r="N5" s="25" t="str">
        <f t="shared" si="0"/>
        <v>Liberty Financial Ltd2002</v>
      </c>
      <c r="O5" s="25" t="str">
        <f t="shared" si="0"/>
        <v>Loan Society</v>
      </c>
      <c r="P5" s="25" t="str">
        <f t="shared" si="0"/>
        <v>Loan Society</v>
      </c>
      <c r="Q5" s="25" t="str">
        <f t="shared" si="0"/>
        <v>Loan Society2004</v>
      </c>
      <c r="R5" s="25" t="str">
        <f t="shared" si="0"/>
        <v>Loan Society2003</v>
      </c>
      <c r="S5" s="25" t="str">
        <f t="shared" si="0"/>
        <v>Lombard Finance &amp; Investment Ltd</v>
      </c>
      <c r="T5" s="25" t="str">
        <f t="shared" si="0"/>
        <v>Lombard Finance &amp; Investment Ltd</v>
      </c>
      <c r="U5" s="25" t="str">
        <f t="shared" si="0"/>
        <v>Lombard Finance &amp; Investment Ltd2004</v>
      </c>
      <c r="V5" s="25" t="str">
        <f t="shared" si="0"/>
        <v>Lombard Finance &amp; Investment Ltd2003</v>
      </c>
      <c r="W5" s="25" t="str">
        <f t="shared" si="0"/>
        <v>Macquarie Finance (NZ) Ltd</v>
      </c>
      <c r="X5" s="25" t="str">
        <f t="shared" si="0"/>
        <v>Macquarie Finance (NZ) Ltd</v>
      </c>
      <c r="Y5" s="25" t="str">
        <f t="shared" si="0"/>
        <v>Macquarie Finance (NZ) Ltd2004</v>
      </c>
      <c r="Z5" s="25" t="str">
        <f t="shared" si="0"/>
        <v>Macquarie Finance (NZ) Ltd2003</v>
      </c>
      <c r="AA5" s="25" t="str">
        <f t="shared" si="0"/>
        <v>Marac Finance Ltd</v>
      </c>
      <c r="AB5" s="25" t="str">
        <f t="shared" si="0"/>
        <v>Marac Finance Ltd</v>
      </c>
      <c r="AC5" s="25" t="str">
        <f t="shared" si="0"/>
        <v>Marac Finance Ltd2004</v>
      </c>
      <c r="AD5" s="25" t="str">
        <f t="shared" si="0"/>
        <v>Marac Finance Ltd2003</v>
      </c>
      <c r="AE5" s="25" t="str">
        <f t="shared" si="0"/>
        <v>Mascot Finance Ltd</v>
      </c>
      <c r="AF5" s="25" t="str">
        <f t="shared" si="0"/>
        <v>Mascot Finance Ltd</v>
      </c>
      <c r="AG5" s="25" t="str">
        <f t="shared" si="0"/>
        <v>Mascot Finance Ltd2004</v>
      </c>
      <c r="AH5" s="25" t="str">
        <f t="shared" si="0"/>
        <v>Mascot Finance Ltd2003</v>
      </c>
      <c r="AI5" s="25" t="str">
        <f t="shared" si="0"/>
        <v>Medical Securities Ltd</v>
      </c>
      <c r="AJ5" s="25" t="str">
        <f t="shared" si="0"/>
        <v>Medical Securities Ltd</v>
      </c>
      <c r="AK5" s="25" t="str">
        <f t="shared" si="0"/>
        <v>Medical Securities Ltd2004</v>
      </c>
      <c r="AL5" s="25" t="str">
        <f t="shared" si="0"/>
        <v>Medical Securities Ltd2003</v>
      </c>
      <c r="AM5" s="25" t="str">
        <f t="shared" si="0"/>
        <v>Nelson Building Society</v>
      </c>
      <c r="AN5" s="25" t="str">
        <f t="shared" si="0"/>
        <v>Nelson Building Society</v>
      </c>
      <c r="AO5" s="25" t="str">
        <f t="shared" si="0"/>
        <v>Nelson Building Society2004</v>
      </c>
      <c r="AP5" s="25" t="str">
        <f t="shared" si="0"/>
        <v>Nelson Building Society2003</v>
      </c>
      <c r="AQ5" s="25" t="str">
        <f t="shared" si="0"/>
        <v>MFS Pacific Finance Ltd</v>
      </c>
      <c r="AR5" s="25" t="str">
        <f t="shared" si="0"/>
        <v>MFS Pacific Finance Ltd</v>
      </c>
      <c r="AS5" s="25" t="str">
        <f t="shared" si="0"/>
        <v>MFS Pacific Finance Ltd2004</v>
      </c>
      <c r="AT5" s="25" t="str">
        <f t="shared" si="0"/>
        <v>MFS Pacific Finance Ltd2003</v>
      </c>
      <c r="AU5" s="25" t="str">
        <f t="shared" si="0"/>
        <v>Motor Trade Finance Ltd</v>
      </c>
      <c r="AV5" s="25" t="str">
        <f t="shared" si="0"/>
        <v>Motor Trade Finance Ltd</v>
      </c>
      <c r="AW5" s="25" t="str">
        <f t="shared" si="0"/>
        <v>Motor Trade Finance Ltd2004</v>
      </c>
      <c r="AX5" s="25" t="str">
        <f t="shared" si="0"/>
        <v>Motor Trade Finance Ltd2003</v>
      </c>
      <c r="AY5" s="25" t="str">
        <f t="shared" si="0"/>
        <v>Mutual Finance Ltd</v>
      </c>
      <c r="AZ5" s="25" t="str">
        <f t="shared" si="0"/>
        <v>Mutual Finance Ltd</v>
      </c>
      <c r="BA5" s="25" t="str">
        <f t="shared" si="0"/>
        <v>Mutual Finance Ltd2004</v>
      </c>
      <c r="BB5" s="25" t="str">
        <f t="shared" si="0"/>
        <v>Mutual Finance Ltd2003</v>
      </c>
      <c r="BC5" s="25" t="str">
        <f t="shared" si="0"/>
        <v>Nathans Finance NZ Ltd</v>
      </c>
      <c r="BD5" s="25" t="str">
        <f t="shared" si="0"/>
        <v>Nathans Finance NZ Ltd</v>
      </c>
      <c r="BE5" s="25" t="str">
        <f t="shared" si="0"/>
        <v>Nathans Finance NZ Ltd2004</v>
      </c>
      <c r="BF5" s="25" t="str">
        <f t="shared" si="0"/>
        <v>Nathans Finance NZ Ltd2003</v>
      </c>
      <c r="BG5" s="25" t="str">
        <f t="shared" si="0"/>
        <v>National Finance 2000 Ltd</v>
      </c>
      <c r="BH5" s="25" t="str">
        <f t="shared" si="0"/>
        <v>National Finance 2000 Ltd</v>
      </c>
      <c r="BI5" s="25" t="str">
        <f t="shared" si="0"/>
        <v>National Finance 2000 Ltd2004</v>
      </c>
      <c r="BJ5" s="25" t="str">
        <f t="shared" si="0"/>
        <v>National Finance 2000 Ltd2003</v>
      </c>
      <c r="BK5" s="25" t="str">
        <f t="shared" si="0"/>
        <v>Nationwide Finance Ltd</v>
      </c>
      <c r="BL5" s="25" t="str">
        <f t="shared" si="0"/>
        <v>Nationwide Finance Ltd</v>
      </c>
      <c r="BM5" s="25" t="str">
        <f t="shared" si="0"/>
        <v>Nationwide Finance Ltd2004</v>
      </c>
      <c r="BN5" s="25" t="str">
        <f t="shared" si="0"/>
        <v>Nationwide Finance Ltd2003</v>
      </c>
      <c r="BO5" s="25" t="str">
        <f t="shared" ref="BO5:CD5" si="1">BO2&amp;BO3</f>
        <v>Nelson Building Society</v>
      </c>
      <c r="BP5" s="25" t="str">
        <f t="shared" si="1"/>
        <v>Nelson Building Society</v>
      </c>
      <c r="BQ5" s="25" t="str">
        <f t="shared" si="1"/>
        <v>Nelson Building Society2004</v>
      </c>
      <c r="BR5" s="25" t="str">
        <f t="shared" si="1"/>
        <v>Nelson Building Society2003</v>
      </c>
      <c r="BS5" s="25" t="str">
        <f t="shared" si="1"/>
        <v>New Zealand Finance Ltd</v>
      </c>
      <c r="BT5" s="25" t="str">
        <f t="shared" si="1"/>
        <v>New Zealand Finance Ltd</v>
      </c>
      <c r="BU5" s="25" t="str">
        <f t="shared" si="1"/>
        <v>New Zealand Finance Ltd2004</v>
      </c>
      <c r="BV5" s="25" t="str">
        <f t="shared" si="1"/>
        <v>New Zealand Finance Ltd2003</v>
      </c>
      <c r="BW5" s="25" t="str">
        <f t="shared" si="1"/>
        <v>North South Finance Ltd</v>
      </c>
      <c r="BX5" s="25" t="str">
        <f t="shared" si="1"/>
        <v>North South Finance Ltd</v>
      </c>
      <c r="BY5" s="25" t="str">
        <f t="shared" si="1"/>
        <v>North South Finance Ltd2004</v>
      </c>
      <c r="BZ5" s="25" t="str">
        <f t="shared" si="1"/>
        <v>North South Finance Ltd2003</v>
      </c>
      <c r="CA5" s="25" t="str">
        <f t="shared" si="1"/>
        <v>Numeria Finance Ltd</v>
      </c>
      <c r="CB5" s="25" t="str">
        <f t="shared" si="1"/>
        <v>Numeria Finance Ltd</v>
      </c>
      <c r="CC5" s="25" t="str">
        <f t="shared" si="1"/>
        <v>Numeria Finance Ltd2004</v>
      </c>
      <c r="CD5" s="25" t="str">
        <f t="shared" si="1"/>
        <v>Numeria Finance Ltd2003</v>
      </c>
    </row>
    <row r="6" spans="1:82" x14ac:dyDescent="0.2">
      <c r="A6" s="4" t="s">
        <v>117</v>
      </c>
      <c r="E6" s="32"/>
      <c r="F6" s="32"/>
      <c r="I6" s="32"/>
      <c r="J6" s="32"/>
      <c r="M6" s="32"/>
      <c r="N6" s="32"/>
      <c r="Q6" s="32"/>
      <c r="R6" s="32"/>
      <c r="U6" s="32"/>
      <c r="V6" s="32"/>
      <c r="Y6" s="32"/>
      <c r="Z6" s="32"/>
      <c r="AC6" s="32"/>
      <c r="AD6" s="32"/>
      <c r="AG6" s="32"/>
      <c r="AH6" s="32"/>
      <c r="AK6" s="32"/>
      <c r="AL6" s="32"/>
      <c r="AO6" s="32"/>
      <c r="AP6" s="32"/>
      <c r="AS6" s="32"/>
      <c r="AT6" s="32"/>
      <c r="AW6" s="32"/>
      <c r="AX6" s="32"/>
      <c r="BA6" s="32"/>
      <c r="BB6" s="32"/>
      <c r="BE6" s="32"/>
      <c r="BF6" s="32"/>
      <c r="BI6" s="32"/>
      <c r="BJ6" s="32"/>
      <c r="BM6" s="32"/>
      <c r="BN6" s="32"/>
      <c r="BQ6" s="32"/>
      <c r="BR6" s="32"/>
      <c r="BU6" s="32"/>
      <c r="BV6" s="32"/>
      <c r="BY6" s="32"/>
      <c r="BZ6" s="32"/>
      <c r="CC6" s="32"/>
      <c r="CD6" s="32"/>
    </row>
    <row r="7" spans="1:82" x14ac:dyDescent="0.2">
      <c r="B7" s="33" t="s">
        <v>118</v>
      </c>
      <c r="E7" s="35">
        <v>13399</v>
      </c>
      <c r="F7" s="35">
        <v>10902</v>
      </c>
      <c r="I7" s="35">
        <v>2836.616</v>
      </c>
      <c r="J7" s="35">
        <v>2657.5569999999998</v>
      </c>
      <c r="M7" s="35">
        <f>3290+5</f>
        <v>3295</v>
      </c>
      <c r="N7" s="35">
        <f>388</f>
        <v>388</v>
      </c>
      <c r="Q7" s="35">
        <f>5954.602+9.96+779.32</f>
        <v>6743.8819999999996</v>
      </c>
      <c r="R7" s="35">
        <f>5544.322+8.461+829.966</f>
        <v>6382.7490000000007</v>
      </c>
      <c r="U7" s="35">
        <v>6845.1840000000002</v>
      </c>
      <c r="V7" s="35">
        <v>305.18200000000002</v>
      </c>
      <c r="Y7" s="35">
        <v>9532.018</v>
      </c>
      <c r="Z7" s="35">
        <v>7812.2190000000001</v>
      </c>
      <c r="AC7" s="35">
        <v>80606</v>
      </c>
      <c r="AD7" s="35">
        <v>56096</v>
      </c>
      <c r="AG7" s="35">
        <v>11629</v>
      </c>
      <c r="AH7" s="35">
        <v>9820</v>
      </c>
      <c r="AK7" s="35">
        <f>18393.842+262.867+556.667+902.217+44.911</f>
        <v>20160.504000000001</v>
      </c>
      <c r="AL7" s="35">
        <f>18460.522+227.333+1078.529+1.438</f>
        <v>19767.821999999996</v>
      </c>
      <c r="AO7" s="35">
        <v>9756.5249999999996</v>
      </c>
      <c r="AP7" s="35">
        <v>7462.326</v>
      </c>
      <c r="AS7" s="35">
        <f>3553.255+171.148</f>
        <v>3724.4030000000002</v>
      </c>
      <c r="AT7" s="35">
        <f>2161.358+338.183</f>
        <v>2499.5410000000002</v>
      </c>
      <c r="AW7" s="35">
        <f>65188+4942</f>
        <v>70130</v>
      </c>
      <c r="AX7" s="35">
        <f>62158+5000</f>
        <v>67158</v>
      </c>
      <c r="BA7" s="35">
        <v>639.33799999999997</v>
      </c>
      <c r="BB7" s="35">
        <v>218.68700000000001</v>
      </c>
      <c r="BE7" s="35">
        <f>5892.925+478.308</f>
        <v>6371.2330000000002</v>
      </c>
      <c r="BF7" s="35">
        <f>2851.985+278.407</f>
        <v>3130.3920000000003</v>
      </c>
      <c r="BI7" s="35">
        <f>3031.176+46.405</f>
        <v>3077.5810000000001</v>
      </c>
      <c r="BJ7" s="35">
        <f>2314.957+22.734</f>
        <v>2337.6909999999998</v>
      </c>
      <c r="BM7" s="35">
        <f>15773+26+246+702</f>
        <v>16747</v>
      </c>
      <c r="BN7" s="35">
        <f>9240+81+452</f>
        <v>9773</v>
      </c>
      <c r="BQ7" s="35">
        <v>9756.5249999999996</v>
      </c>
      <c r="BR7" s="35">
        <v>7462.326</v>
      </c>
      <c r="BU7" s="35">
        <v>3967.855</v>
      </c>
      <c r="BV7" s="35">
        <v>2491.6990000000001</v>
      </c>
      <c r="BY7" s="35">
        <v>4204.4449999999997</v>
      </c>
      <c r="BZ7" s="35">
        <v>1390.3009999999999</v>
      </c>
      <c r="CC7" s="35">
        <v>164.74199999999999</v>
      </c>
      <c r="CD7" s="35">
        <v>90.147999999999996</v>
      </c>
    </row>
    <row r="8" spans="1:82" s="38" customFormat="1" x14ac:dyDescent="0.2">
      <c r="B8" s="39" t="s">
        <v>120</v>
      </c>
      <c r="C8" s="46"/>
      <c r="D8" s="47"/>
      <c r="E8" s="43">
        <v>4277</v>
      </c>
      <c r="F8" s="43">
        <v>5480</v>
      </c>
      <c r="G8" s="46"/>
      <c r="H8" s="47"/>
      <c r="I8" s="43">
        <v>1709.538</v>
      </c>
      <c r="J8" s="43">
        <v>1604.6890000000001</v>
      </c>
      <c r="K8" s="46"/>
      <c r="L8" s="47"/>
      <c r="M8" s="43">
        <f>1669</f>
        <v>1669</v>
      </c>
      <c r="N8" s="43">
        <v>235</v>
      </c>
      <c r="O8" s="46"/>
      <c r="P8" s="47"/>
      <c r="Q8" s="43">
        <f>5064.404</f>
        <v>5064.4040000000005</v>
      </c>
      <c r="R8" s="43">
        <f>4631.906+3.239</f>
        <v>4635.1449999999995</v>
      </c>
      <c r="S8" s="46"/>
      <c r="T8" s="47"/>
      <c r="U8" s="43">
        <v>5701.8739999999998</v>
      </c>
      <c r="V8" s="43">
        <v>278.80200000000002</v>
      </c>
      <c r="W8" s="46"/>
      <c r="X8" s="47"/>
      <c r="Y8" s="43">
        <v>10737.66</v>
      </c>
      <c r="Z8" s="43">
        <v>6739.866</v>
      </c>
      <c r="AA8" s="46"/>
      <c r="AB8" s="47"/>
      <c r="AC8" s="43">
        <v>43460</v>
      </c>
      <c r="AD8" s="43">
        <v>31986</v>
      </c>
      <c r="AE8" s="46"/>
      <c r="AF8" s="47"/>
      <c r="AG8" s="43">
        <v>6465</v>
      </c>
      <c r="AH8" s="43">
        <v>5458</v>
      </c>
      <c r="AI8" s="46"/>
      <c r="AJ8" s="47"/>
      <c r="AK8" s="43">
        <f>2278.3+8894.436</f>
        <v>11172.736000000001</v>
      </c>
      <c r="AL8" s="43">
        <f>1813.785+9786.178</f>
        <v>11599.963</v>
      </c>
      <c r="AM8" s="46"/>
      <c r="AN8" s="47"/>
      <c r="AO8" s="43">
        <v>7078.59</v>
      </c>
      <c r="AP8" s="43">
        <v>5326.5060000000003</v>
      </c>
      <c r="AQ8" s="46"/>
      <c r="AR8" s="47"/>
      <c r="AS8" s="43">
        <f>2423.476+17.131</f>
        <v>2440.607</v>
      </c>
      <c r="AT8" s="43">
        <f>1732.164</f>
        <v>1732.164</v>
      </c>
      <c r="AU8" s="46"/>
      <c r="AV8" s="47"/>
      <c r="AW8" s="43">
        <f>4449+21734</f>
        <v>26183</v>
      </c>
      <c r="AX8" s="43">
        <f>4456+21503</f>
        <v>25959</v>
      </c>
      <c r="AY8" s="46"/>
      <c r="AZ8" s="47"/>
      <c r="BA8" s="43">
        <v>287.14800000000002</v>
      </c>
      <c r="BB8" s="43">
        <v>74.7</v>
      </c>
      <c r="BC8" s="46"/>
      <c r="BD8" s="47"/>
      <c r="BE8" s="43">
        <f>4448.895</f>
        <v>4448.8950000000004</v>
      </c>
      <c r="BF8" s="43">
        <f>2140.614</f>
        <v>2140.614</v>
      </c>
      <c r="BG8" s="46"/>
      <c r="BH8" s="47"/>
      <c r="BI8" s="43">
        <f>18.201+1146.757+128.846</f>
        <v>1293.8040000000001</v>
      </c>
      <c r="BJ8" s="43">
        <f>2.829+902.509+39.362</f>
        <v>944.69999999999993</v>
      </c>
      <c r="BK8" s="46"/>
      <c r="BL8" s="47"/>
      <c r="BM8" s="43">
        <v>9896</v>
      </c>
      <c r="BN8" s="43">
        <v>5729</v>
      </c>
      <c r="BO8" s="46"/>
      <c r="BP8" s="47"/>
      <c r="BQ8" s="43">
        <v>7078.59</v>
      </c>
      <c r="BR8" s="43">
        <v>5326.5060000000003</v>
      </c>
      <c r="BS8" s="46"/>
      <c r="BT8" s="47"/>
      <c r="BU8" s="43">
        <f>2179.576</f>
        <v>2179.576</v>
      </c>
      <c r="BV8" s="43">
        <v>1324.9849999999999</v>
      </c>
      <c r="BW8" s="46"/>
      <c r="BX8" s="47"/>
      <c r="BY8" s="43">
        <v>2420.8910000000001</v>
      </c>
      <c r="BZ8" s="43">
        <v>643.99199999999996</v>
      </c>
      <c r="CA8" s="46"/>
      <c r="CB8" s="47"/>
      <c r="CC8" s="43">
        <f>156.991+95.306</f>
        <v>252.29700000000003</v>
      </c>
      <c r="CD8" s="43">
        <f>7.407+1.444</f>
        <v>8.8509999999999991</v>
      </c>
    </row>
    <row r="9" spans="1:82" s="54" customFormat="1" x14ac:dyDescent="0.2">
      <c r="A9" s="6" t="s">
        <v>121</v>
      </c>
      <c r="B9" s="33"/>
      <c r="C9" s="52"/>
      <c r="D9" s="53"/>
      <c r="E9" s="51">
        <f>E7-E8</f>
        <v>9122</v>
      </c>
      <c r="F9" s="51">
        <f>F7-F8</f>
        <v>5422</v>
      </c>
      <c r="G9" s="52"/>
      <c r="H9" s="53"/>
      <c r="I9" s="51">
        <f>I7-I8</f>
        <v>1127.078</v>
      </c>
      <c r="J9" s="51">
        <f>J7-J8</f>
        <v>1052.8679999999997</v>
      </c>
      <c r="K9" s="52"/>
      <c r="L9" s="53"/>
      <c r="M9" s="51">
        <f>M7-M8</f>
        <v>1626</v>
      </c>
      <c r="N9" s="51">
        <f>N7-N8</f>
        <v>153</v>
      </c>
      <c r="O9" s="52"/>
      <c r="P9" s="53"/>
      <c r="Q9" s="51">
        <f>Q7-Q8</f>
        <v>1679.4779999999992</v>
      </c>
      <c r="R9" s="51">
        <f>R7-R8</f>
        <v>1747.6040000000012</v>
      </c>
      <c r="S9" s="52"/>
      <c r="T9" s="53"/>
      <c r="U9" s="51">
        <f>U7-U8</f>
        <v>1143.3100000000004</v>
      </c>
      <c r="V9" s="51">
        <f>V7-V8</f>
        <v>26.379999999999995</v>
      </c>
      <c r="W9" s="52"/>
      <c r="X9" s="53"/>
      <c r="Y9" s="51">
        <f>Y7-Y8</f>
        <v>-1205.6419999999998</v>
      </c>
      <c r="Z9" s="51">
        <f>Z7-Z8</f>
        <v>1072.3530000000001</v>
      </c>
      <c r="AA9" s="52"/>
      <c r="AB9" s="53"/>
      <c r="AC9" s="51">
        <f>AC7-AC8</f>
        <v>37146</v>
      </c>
      <c r="AD9" s="51">
        <f>AD7-AD8</f>
        <v>24110</v>
      </c>
      <c r="AE9" s="52"/>
      <c r="AF9" s="53"/>
      <c r="AG9" s="51">
        <f>AG7-AG8</f>
        <v>5164</v>
      </c>
      <c r="AH9" s="51">
        <f>AH7-AH8</f>
        <v>4362</v>
      </c>
      <c r="AI9" s="52"/>
      <c r="AJ9" s="53"/>
      <c r="AK9" s="51">
        <f>AK7-AK8</f>
        <v>8987.768</v>
      </c>
      <c r="AL9" s="51">
        <f>AL7-AL8</f>
        <v>8167.8589999999967</v>
      </c>
      <c r="AM9" s="52"/>
      <c r="AN9" s="53"/>
      <c r="AO9" s="51">
        <f>AO7-AO8</f>
        <v>2677.9349999999995</v>
      </c>
      <c r="AP9" s="51">
        <f>AP7-AP8</f>
        <v>2135.8199999999997</v>
      </c>
      <c r="AQ9" s="52"/>
      <c r="AR9" s="53"/>
      <c r="AS9" s="51">
        <f>AS7-AS8</f>
        <v>1283.7960000000003</v>
      </c>
      <c r="AT9" s="51">
        <f>AT7-AT8</f>
        <v>767.37700000000018</v>
      </c>
      <c r="AU9" s="52"/>
      <c r="AV9" s="53"/>
      <c r="AW9" s="51">
        <f>AW7-AW8</f>
        <v>43947</v>
      </c>
      <c r="AX9" s="51">
        <f>AX7-AX8</f>
        <v>41199</v>
      </c>
      <c r="AY9" s="52"/>
      <c r="AZ9" s="53"/>
      <c r="BA9" s="51">
        <f>BA7-BA8</f>
        <v>352.18999999999994</v>
      </c>
      <c r="BB9" s="51">
        <f>BB7-BB8</f>
        <v>143.98700000000002</v>
      </c>
      <c r="BC9" s="52"/>
      <c r="BD9" s="53"/>
      <c r="BE9" s="51">
        <f>BE7-BE8</f>
        <v>1922.3379999999997</v>
      </c>
      <c r="BF9" s="51">
        <f>BF7-BF8</f>
        <v>989.77800000000025</v>
      </c>
      <c r="BG9" s="52"/>
      <c r="BH9" s="53"/>
      <c r="BI9" s="51">
        <f>BI7-BI8</f>
        <v>1783.777</v>
      </c>
      <c r="BJ9" s="51">
        <f>BJ7-BJ8</f>
        <v>1392.991</v>
      </c>
      <c r="BK9" s="52"/>
      <c r="BL9" s="53"/>
      <c r="BM9" s="51">
        <f>BM7-BM8</f>
        <v>6851</v>
      </c>
      <c r="BN9" s="51">
        <f>BN7-BN8</f>
        <v>4044</v>
      </c>
      <c r="BO9" s="52"/>
      <c r="BP9" s="53"/>
      <c r="BQ9" s="51">
        <f>BQ7-BQ8</f>
        <v>2677.9349999999995</v>
      </c>
      <c r="BR9" s="51">
        <f>BR7-BR8</f>
        <v>2135.8199999999997</v>
      </c>
      <c r="BS9" s="52"/>
      <c r="BT9" s="53"/>
      <c r="BU9" s="51">
        <f>BU7-BU8</f>
        <v>1788.279</v>
      </c>
      <c r="BV9" s="51">
        <f>BV7-BV8</f>
        <v>1166.7140000000002</v>
      </c>
      <c r="BW9" s="52"/>
      <c r="BX9" s="53"/>
      <c r="BY9" s="51">
        <f>BY7-BY8</f>
        <v>1783.5539999999996</v>
      </c>
      <c r="BZ9" s="51">
        <f>BZ7-BZ8</f>
        <v>746.30899999999997</v>
      </c>
      <c r="CA9" s="52"/>
      <c r="CB9" s="53"/>
      <c r="CC9" s="51">
        <f>CC7-CC8</f>
        <v>-87.555000000000035</v>
      </c>
      <c r="CD9" s="51">
        <f>CD7-CD8</f>
        <v>81.296999999999997</v>
      </c>
    </row>
    <row r="10" spans="1:82" s="54" customFormat="1" ht="6.75" customHeight="1" x14ac:dyDescent="0.2">
      <c r="A10" s="6"/>
      <c r="B10" s="33"/>
      <c r="C10" s="52"/>
      <c r="D10" s="53"/>
      <c r="E10" s="56"/>
      <c r="F10" s="56"/>
      <c r="G10" s="52"/>
      <c r="H10" s="53"/>
      <c r="I10" s="56"/>
      <c r="J10" s="56"/>
      <c r="K10" s="52"/>
      <c r="L10" s="53"/>
      <c r="M10" s="56"/>
      <c r="N10" s="56"/>
      <c r="O10" s="52"/>
      <c r="P10" s="53"/>
      <c r="Q10" s="56"/>
      <c r="R10" s="56"/>
      <c r="S10" s="52"/>
      <c r="T10" s="53"/>
      <c r="U10" s="56"/>
      <c r="V10" s="56"/>
      <c r="W10" s="52"/>
      <c r="X10" s="53"/>
      <c r="Y10" s="56"/>
      <c r="Z10" s="56"/>
      <c r="AA10" s="52"/>
      <c r="AB10" s="53"/>
      <c r="AC10" s="56"/>
      <c r="AD10" s="56"/>
      <c r="AE10" s="52"/>
      <c r="AF10" s="53"/>
      <c r="AG10" s="56"/>
      <c r="AH10" s="56"/>
      <c r="AI10" s="52"/>
      <c r="AJ10" s="53"/>
      <c r="AK10" s="56"/>
      <c r="AL10" s="56"/>
      <c r="AM10" s="52"/>
      <c r="AN10" s="53"/>
      <c r="AO10" s="56"/>
      <c r="AP10" s="56"/>
      <c r="AQ10" s="52"/>
      <c r="AR10" s="53"/>
      <c r="AS10" s="56"/>
      <c r="AT10" s="56"/>
      <c r="AU10" s="52"/>
      <c r="AV10" s="53"/>
      <c r="AW10" s="56"/>
      <c r="AX10" s="56"/>
      <c r="AY10" s="52"/>
      <c r="AZ10" s="53"/>
      <c r="BA10" s="56"/>
      <c r="BB10" s="56"/>
      <c r="BC10" s="52"/>
      <c r="BD10" s="53"/>
      <c r="BE10" s="56"/>
      <c r="BF10" s="56"/>
      <c r="BG10" s="52"/>
      <c r="BH10" s="53"/>
      <c r="BI10" s="56"/>
      <c r="BJ10" s="56"/>
      <c r="BK10" s="52"/>
      <c r="BL10" s="53"/>
      <c r="BM10" s="56"/>
      <c r="BN10" s="56"/>
      <c r="BO10" s="52"/>
      <c r="BP10" s="53"/>
      <c r="BQ10" s="56"/>
      <c r="BR10" s="56"/>
      <c r="BS10" s="52"/>
      <c r="BT10" s="53"/>
      <c r="BU10" s="56"/>
      <c r="BV10" s="56"/>
      <c r="BW10" s="52"/>
      <c r="BX10" s="53"/>
      <c r="BY10" s="56"/>
      <c r="BZ10" s="56"/>
      <c r="CA10" s="52"/>
      <c r="CB10" s="53"/>
      <c r="CC10" s="56"/>
      <c r="CD10" s="56"/>
    </row>
    <row r="11" spans="1:82" s="6" customFormat="1" x14ac:dyDescent="0.2">
      <c r="B11" s="33" t="s">
        <v>122</v>
      </c>
      <c r="C11" s="7"/>
      <c r="D11" s="8"/>
      <c r="E11" s="56">
        <v>0</v>
      </c>
      <c r="F11" s="56">
        <v>0</v>
      </c>
      <c r="G11" s="7"/>
      <c r="H11" s="8"/>
      <c r="I11" s="56">
        <v>0</v>
      </c>
      <c r="J11" s="197">
        <v>5.1999999999999998E-2</v>
      </c>
      <c r="K11" s="7"/>
      <c r="L11" s="8"/>
      <c r="M11" s="56">
        <v>0</v>
      </c>
      <c r="N11" s="197">
        <v>0</v>
      </c>
      <c r="O11" s="7"/>
      <c r="P11" s="8"/>
      <c r="Q11" s="56">
        <v>0</v>
      </c>
      <c r="R11" s="197">
        <v>0</v>
      </c>
      <c r="S11" s="7"/>
      <c r="T11" s="8"/>
      <c r="U11" s="56">
        <v>0</v>
      </c>
      <c r="V11" s="197">
        <v>0</v>
      </c>
      <c r="W11" s="7"/>
      <c r="X11" s="8"/>
      <c r="Y11" s="56">
        <v>0</v>
      </c>
      <c r="Z11" s="197">
        <v>0</v>
      </c>
      <c r="AA11" s="7"/>
      <c r="AB11" s="8"/>
      <c r="AC11" s="56">
        <f>828</f>
        <v>828</v>
      </c>
      <c r="AD11" s="197">
        <f>1749</f>
        <v>1749</v>
      </c>
      <c r="AE11" s="7"/>
      <c r="AF11" s="8"/>
      <c r="AG11" s="56">
        <v>0</v>
      </c>
      <c r="AH11" s="197">
        <v>0</v>
      </c>
      <c r="AI11" s="7"/>
      <c r="AJ11" s="8"/>
      <c r="AK11" s="56">
        <v>0</v>
      </c>
      <c r="AL11" s="197">
        <v>0</v>
      </c>
      <c r="AM11" s="7"/>
      <c r="AN11" s="8"/>
      <c r="AO11" s="56">
        <v>6.4000000000000001E-2</v>
      </c>
      <c r="AP11" s="56">
        <v>1.339</v>
      </c>
      <c r="AQ11" s="7"/>
      <c r="AR11" s="8"/>
      <c r="AS11" s="56"/>
      <c r="AT11" s="197"/>
      <c r="AU11" s="7"/>
      <c r="AV11" s="8"/>
      <c r="AW11" s="56">
        <v>0</v>
      </c>
      <c r="AX11" s="197">
        <v>0</v>
      </c>
      <c r="AY11" s="7"/>
      <c r="AZ11" s="8"/>
      <c r="BA11" s="56">
        <v>0</v>
      </c>
      <c r="BB11" s="197">
        <v>0</v>
      </c>
      <c r="BC11" s="7"/>
      <c r="BD11" s="8"/>
      <c r="BE11" s="56">
        <v>0</v>
      </c>
      <c r="BF11" s="197">
        <v>0</v>
      </c>
      <c r="BG11" s="7"/>
      <c r="BH11" s="8"/>
      <c r="BI11" s="56">
        <v>164.97200000000001</v>
      </c>
      <c r="BJ11" s="197">
        <v>0</v>
      </c>
      <c r="BK11" s="7"/>
      <c r="BL11" s="8"/>
      <c r="BM11" s="56">
        <v>0</v>
      </c>
      <c r="BN11" s="197">
        <v>0</v>
      </c>
      <c r="BO11" s="7"/>
      <c r="BP11" s="8"/>
      <c r="BQ11" s="56">
        <v>64</v>
      </c>
      <c r="BR11" s="56">
        <v>1.339</v>
      </c>
      <c r="BS11" s="7"/>
      <c r="BT11" s="8"/>
      <c r="BU11" s="56">
        <v>0</v>
      </c>
      <c r="BV11" s="197">
        <v>0</v>
      </c>
      <c r="BW11" s="7"/>
      <c r="BX11" s="8"/>
      <c r="BY11" s="56">
        <v>0</v>
      </c>
      <c r="BZ11" s="197">
        <v>0</v>
      </c>
      <c r="CA11" s="7"/>
      <c r="CB11" s="8"/>
      <c r="CC11" s="56">
        <v>0</v>
      </c>
      <c r="CD11" s="197">
        <v>0</v>
      </c>
    </row>
    <row r="12" spans="1:82" s="54" customFormat="1" x14ac:dyDescent="0.2">
      <c r="A12" s="6"/>
      <c r="B12" s="33" t="s">
        <v>123</v>
      </c>
      <c r="C12" s="52"/>
      <c r="D12" s="53"/>
      <c r="E12" s="56">
        <v>9480</v>
      </c>
      <c r="F12" s="56">
        <v>7947</v>
      </c>
      <c r="G12" s="52"/>
      <c r="H12" s="53"/>
      <c r="I12" s="56">
        <v>7.19</v>
      </c>
      <c r="J12" s="56">
        <v>11.09</v>
      </c>
      <c r="K12" s="52"/>
      <c r="L12" s="53"/>
      <c r="M12" s="56">
        <f>5488-M7</f>
        <v>2193</v>
      </c>
      <c r="N12" s="56">
        <f>990-N7</f>
        <v>602</v>
      </c>
      <c r="O12" s="52"/>
      <c r="P12" s="53"/>
      <c r="Q12" s="56">
        <v>0</v>
      </c>
      <c r="R12" s="56">
        <v>0</v>
      </c>
      <c r="S12" s="52"/>
      <c r="T12" s="53"/>
      <c r="U12" s="56">
        <v>3094.692</v>
      </c>
      <c r="V12" s="56">
        <v>401.26900000000001</v>
      </c>
      <c r="W12" s="52"/>
      <c r="X12" s="53"/>
      <c r="Y12" s="56">
        <v>0</v>
      </c>
      <c r="Z12" s="56">
        <v>0</v>
      </c>
      <c r="AA12" s="52"/>
      <c r="AB12" s="53"/>
      <c r="AC12" s="56">
        <v>0</v>
      </c>
      <c r="AD12" s="56">
        <v>0</v>
      </c>
      <c r="AE12" s="52"/>
      <c r="AF12" s="53"/>
      <c r="AG12" s="56">
        <v>0</v>
      </c>
      <c r="AH12" s="56">
        <v>0</v>
      </c>
      <c r="AI12" s="52"/>
      <c r="AJ12" s="53"/>
      <c r="AK12" s="56">
        <f>AK14</f>
        <v>952.91699999999764</v>
      </c>
      <c r="AL12" s="56">
        <f>AL14</f>
        <v>833.83500000000276</v>
      </c>
      <c r="AM12" s="52"/>
      <c r="AN12" s="53"/>
      <c r="AO12" s="198">
        <f>241.811+28.776+86.01</f>
        <v>356.59699999999998</v>
      </c>
      <c r="AP12" s="56">
        <f>152.227+23.599+74.669</f>
        <v>250.495</v>
      </c>
      <c r="AQ12" s="52"/>
      <c r="AR12" s="53"/>
      <c r="AS12" s="56">
        <v>303.31799999999998</v>
      </c>
      <c r="AT12" s="56">
        <v>252.02099999999999</v>
      </c>
      <c r="AU12" s="52"/>
      <c r="AV12" s="53"/>
      <c r="AW12" s="56">
        <v>1464</v>
      </c>
      <c r="AX12" s="56">
        <v>970</v>
      </c>
      <c r="AY12" s="52"/>
      <c r="AZ12" s="53"/>
      <c r="BA12" s="56">
        <v>0</v>
      </c>
      <c r="BB12" s="56">
        <v>0</v>
      </c>
      <c r="BC12" s="52"/>
      <c r="BD12" s="53"/>
      <c r="BE12" s="56">
        <v>636.22299999999996</v>
      </c>
      <c r="BF12" s="56">
        <v>309.86799999999999</v>
      </c>
      <c r="BG12" s="52"/>
      <c r="BH12" s="53"/>
      <c r="BI12" s="56">
        <v>2179.4250000000002</v>
      </c>
      <c r="BJ12" s="56">
        <v>1374.7239999999999</v>
      </c>
      <c r="BK12" s="52"/>
      <c r="BL12" s="53"/>
      <c r="BM12" s="56">
        <f>1596+61</f>
        <v>1657</v>
      </c>
      <c r="BN12" s="56">
        <f>1000+49</f>
        <v>1049</v>
      </c>
      <c r="BO12" s="52"/>
      <c r="BP12" s="53"/>
      <c r="BQ12" s="56">
        <f>243.811+28.776+193.98</f>
        <v>466.56700000000001</v>
      </c>
      <c r="BR12" s="56">
        <f>152.227+23.599+170.158</f>
        <v>345.98399999999998</v>
      </c>
      <c r="BS12" s="52"/>
      <c r="BT12" s="53"/>
      <c r="BU12" s="56">
        <v>2576.3890000000001</v>
      </c>
      <c r="BV12" s="56">
        <v>1472.7139999999999</v>
      </c>
      <c r="BW12" s="52"/>
      <c r="BX12" s="53"/>
      <c r="BY12" s="56">
        <v>1935.1110000000001</v>
      </c>
      <c r="BZ12" s="56">
        <v>812</v>
      </c>
      <c r="CA12" s="52"/>
      <c r="CB12" s="53"/>
      <c r="CC12" s="56">
        <v>459.73399999999998</v>
      </c>
      <c r="CD12" s="56">
        <v>6.6349999999999998</v>
      </c>
    </row>
    <row r="13" spans="1:82" s="58" customFormat="1" x14ac:dyDescent="0.2">
      <c r="B13" s="59" t="s">
        <v>124</v>
      </c>
      <c r="C13" s="63"/>
      <c r="D13" s="64"/>
      <c r="E13" s="61">
        <f>E14-E11-E12</f>
        <v>0</v>
      </c>
      <c r="F13" s="61">
        <f>F14-F11-F12</f>
        <v>0</v>
      </c>
      <c r="G13" s="63"/>
      <c r="H13" s="64"/>
      <c r="I13" s="61">
        <f>I14-I11-I12</f>
        <v>58.447000000000173</v>
      </c>
      <c r="J13" s="61">
        <f>J14-J11-J12</f>
        <v>50.419000000000153</v>
      </c>
      <c r="K13" s="63"/>
      <c r="L13" s="64"/>
      <c r="M13" s="61">
        <f>M14-M11-M12</f>
        <v>0</v>
      </c>
      <c r="N13" s="61">
        <f>N14-N11-N12</f>
        <v>0</v>
      </c>
      <c r="O13" s="63"/>
      <c r="P13" s="64"/>
      <c r="Q13" s="61">
        <f>Q14-Q11-Q12</f>
        <v>1293.4010000000001</v>
      </c>
      <c r="R13" s="61">
        <f>R14-R11-R12</f>
        <v>1057.1249999999991</v>
      </c>
      <c r="S13" s="63"/>
      <c r="T13" s="64"/>
      <c r="U13" s="61">
        <f>U14-U11-U12</f>
        <v>0</v>
      </c>
      <c r="V13" s="61">
        <f>V14-V11-V12</f>
        <v>0</v>
      </c>
      <c r="W13" s="63"/>
      <c r="X13" s="64"/>
      <c r="Y13" s="61">
        <v>0</v>
      </c>
      <c r="Z13" s="61"/>
      <c r="AA13" s="63"/>
      <c r="AB13" s="64"/>
      <c r="AC13" s="61">
        <f>AC14-AC11-AC12</f>
        <v>17820</v>
      </c>
      <c r="AD13" s="61">
        <f>AD14-AD11-AD12</f>
        <v>15541</v>
      </c>
      <c r="AE13" s="63"/>
      <c r="AF13" s="64"/>
      <c r="AG13" s="61">
        <f>AG14-AG11-AG12</f>
        <v>525</v>
      </c>
      <c r="AH13" s="61">
        <f>AH14-AH11-AH12</f>
        <v>573</v>
      </c>
      <c r="AI13" s="63"/>
      <c r="AJ13" s="64"/>
      <c r="AK13" s="61">
        <v>0</v>
      </c>
      <c r="AL13" s="61">
        <v>0</v>
      </c>
      <c r="AM13" s="63"/>
      <c r="AN13" s="64"/>
      <c r="AO13" s="61">
        <f>AO14-AO11-AO12</f>
        <v>440.22</v>
      </c>
      <c r="AP13" s="61">
        <f>AP14-AP11-AP12</f>
        <v>350.39</v>
      </c>
      <c r="AQ13" s="63"/>
      <c r="AR13" s="64"/>
      <c r="AS13" s="61">
        <f>AS14-AS12</f>
        <v>-6.2610000000001946</v>
      </c>
      <c r="AT13" s="61">
        <f>AT14-AT12</f>
        <v>23.956999999999624</v>
      </c>
      <c r="AU13" s="63"/>
      <c r="AV13" s="64"/>
      <c r="AW13" s="61">
        <v>0</v>
      </c>
      <c r="AX13" s="61">
        <v>0</v>
      </c>
      <c r="AY13" s="63"/>
      <c r="AZ13" s="64"/>
      <c r="BA13" s="61">
        <f>BA14</f>
        <v>213.19200000000001</v>
      </c>
      <c r="BB13" s="61">
        <f>BB14</f>
        <v>85.459000000000003</v>
      </c>
      <c r="BC13" s="63"/>
      <c r="BD13" s="64"/>
      <c r="BE13" s="61">
        <v>0</v>
      </c>
      <c r="BF13" s="61">
        <v>0</v>
      </c>
      <c r="BG13" s="63"/>
      <c r="BH13" s="64"/>
      <c r="BI13" s="61">
        <f>BI14-BI11-BI12</f>
        <v>432.85899999999901</v>
      </c>
      <c r="BJ13" s="61">
        <f>BJ14-BJ11-BJ12</f>
        <v>272.3910000000003</v>
      </c>
      <c r="BK13" s="63"/>
      <c r="BL13" s="64"/>
      <c r="BM13" s="61">
        <f>BM14-BM11-BM12</f>
        <v>105</v>
      </c>
      <c r="BN13" s="61">
        <f>BN14-BN11-BN12</f>
        <v>14</v>
      </c>
      <c r="BO13" s="63"/>
      <c r="BP13" s="64"/>
      <c r="BQ13" s="61">
        <f>BQ14-BQ11-BQ12</f>
        <v>266.31399999999996</v>
      </c>
      <c r="BR13" s="61">
        <f>BR14-BR11-BR12</f>
        <v>254.90100000000001</v>
      </c>
      <c r="BS13" s="63"/>
      <c r="BT13" s="64"/>
      <c r="BU13" s="61">
        <f>BU14-BU11-BU12</f>
        <v>964.06</v>
      </c>
      <c r="BV13" s="61">
        <f>BV14-BV11-BV12</f>
        <v>0</v>
      </c>
      <c r="BW13" s="63"/>
      <c r="BX13" s="64"/>
      <c r="BY13" s="61">
        <f>BY14-BY11-BY12</f>
        <v>17.499999999999773</v>
      </c>
      <c r="BZ13" s="61">
        <f>BZ14-BZ11-BZ12</f>
        <v>0.59200000000009823</v>
      </c>
      <c r="CA13" s="63"/>
      <c r="CB13" s="64"/>
      <c r="CC13" s="61">
        <f>CC14-CC11-CC12</f>
        <v>1772.701</v>
      </c>
      <c r="CD13" s="61">
        <f>CD14-CD11-CD12</f>
        <v>8.3340000000000085</v>
      </c>
    </row>
    <row r="14" spans="1:82" s="6" customFormat="1" x14ac:dyDescent="0.2">
      <c r="A14" s="6" t="s">
        <v>125</v>
      </c>
      <c r="B14" s="65"/>
      <c r="C14" s="7"/>
      <c r="D14" s="8"/>
      <c r="E14" s="56">
        <v>9480</v>
      </c>
      <c r="F14" s="56">
        <v>7947</v>
      </c>
      <c r="G14" s="7"/>
      <c r="H14" s="8"/>
      <c r="I14" s="56">
        <f>2902.253-I7</f>
        <v>65.637000000000171</v>
      </c>
      <c r="J14" s="56">
        <f>2719.118-J7</f>
        <v>61.561000000000149</v>
      </c>
      <c r="K14" s="7"/>
      <c r="L14" s="8"/>
      <c r="M14" s="56">
        <f>5488-M7</f>
        <v>2193</v>
      </c>
      <c r="N14" s="56">
        <f>990-N7</f>
        <v>602</v>
      </c>
      <c r="O14" s="7"/>
      <c r="P14" s="8"/>
      <c r="Q14" s="56">
        <f>7787.463-Q7+249.82</f>
        <v>1293.4010000000001</v>
      </c>
      <c r="R14" s="56">
        <f>7204.535-R7+235.339</f>
        <v>1057.1249999999991</v>
      </c>
      <c r="S14" s="7"/>
      <c r="T14" s="8"/>
      <c r="U14" s="56">
        <f>9939.876-U7</f>
        <v>3094.692</v>
      </c>
      <c r="V14" s="56">
        <f>706.451-V7</f>
        <v>401.26900000000001</v>
      </c>
      <c r="W14" s="7"/>
      <c r="X14" s="8"/>
      <c r="Y14" s="56">
        <v>0</v>
      </c>
      <c r="Z14" s="56">
        <v>0</v>
      </c>
      <c r="AA14" s="7"/>
      <c r="AB14" s="8"/>
      <c r="AC14" s="56">
        <f>99254-AC7</f>
        <v>18648</v>
      </c>
      <c r="AD14" s="56">
        <f>73386-AD7</f>
        <v>17290</v>
      </c>
      <c r="AE14" s="7"/>
      <c r="AF14" s="8"/>
      <c r="AG14" s="56">
        <f>12154-AG7</f>
        <v>525</v>
      </c>
      <c r="AH14" s="56">
        <f>10393-AH7</f>
        <v>573</v>
      </c>
      <c r="AI14" s="7"/>
      <c r="AJ14" s="8"/>
      <c r="AK14" s="56">
        <f>21113.421-AK7</f>
        <v>952.91699999999764</v>
      </c>
      <c r="AL14" s="56">
        <f>20601.657-AL7</f>
        <v>833.83500000000276</v>
      </c>
      <c r="AM14" s="7"/>
      <c r="AN14" s="8"/>
      <c r="AO14" s="56">
        <v>796.88099999999997</v>
      </c>
      <c r="AP14" s="56">
        <v>602.22400000000005</v>
      </c>
      <c r="AQ14" s="7"/>
      <c r="AR14" s="8"/>
      <c r="AS14" s="56">
        <f>4021.46-AS7</f>
        <v>297.05699999999979</v>
      </c>
      <c r="AT14" s="56">
        <f>2775.519-AT7</f>
        <v>275.97799999999961</v>
      </c>
      <c r="AU14" s="7"/>
      <c r="AV14" s="8"/>
      <c r="AW14" s="56">
        <f>AW12</f>
        <v>1464</v>
      </c>
      <c r="AX14" s="56">
        <f>AX12</f>
        <v>970</v>
      </c>
      <c r="AY14" s="7"/>
      <c r="AZ14" s="8"/>
      <c r="BA14" s="56">
        <v>213.19200000000001</v>
      </c>
      <c r="BB14" s="56">
        <v>85.459000000000003</v>
      </c>
      <c r="BC14" s="7"/>
      <c r="BD14" s="8"/>
      <c r="BE14" s="56">
        <f>BE12</f>
        <v>636.22299999999996</v>
      </c>
      <c r="BF14" s="56">
        <f>BF12</f>
        <v>309.86799999999999</v>
      </c>
      <c r="BG14" s="7"/>
      <c r="BH14" s="8"/>
      <c r="BI14" s="56">
        <f>5210.601+644.236-BI7</f>
        <v>2777.2559999999994</v>
      </c>
      <c r="BJ14" s="56">
        <f>3689.681+295.125-BJ7</f>
        <v>1647.1150000000002</v>
      </c>
      <c r="BK14" s="7"/>
      <c r="BL14" s="8"/>
      <c r="BM14" s="56">
        <f>18509-BM7</f>
        <v>1762</v>
      </c>
      <c r="BN14" s="56">
        <f>10836-BN7</f>
        <v>1063</v>
      </c>
      <c r="BO14" s="7"/>
      <c r="BP14" s="8"/>
      <c r="BQ14" s="56">
        <v>796.88099999999997</v>
      </c>
      <c r="BR14" s="56">
        <f>602.224</f>
        <v>602.22400000000005</v>
      </c>
      <c r="BS14" s="7"/>
      <c r="BT14" s="8"/>
      <c r="BU14" s="56">
        <f>7508.304-BU7</f>
        <v>3540.4490000000001</v>
      </c>
      <c r="BV14" s="56">
        <f>3964.413-BV7</f>
        <v>1472.7139999999999</v>
      </c>
      <c r="BW14" s="7"/>
      <c r="BX14" s="8"/>
      <c r="BY14" s="56">
        <f>6157.056-BY7</f>
        <v>1952.6109999999999</v>
      </c>
      <c r="BZ14" s="56">
        <f>2202.893-BZ7</f>
        <v>812.5920000000001</v>
      </c>
      <c r="CA14" s="7"/>
      <c r="CB14" s="8"/>
      <c r="CC14" s="56">
        <f>2397.177-CC7</f>
        <v>2232.4349999999999</v>
      </c>
      <c r="CD14" s="56">
        <f>105.117-CD7</f>
        <v>14.969000000000008</v>
      </c>
    </row>
    <row r="15" spans="1:82" s="6" customFormat="1" ht="6" customHeight="1" x14ac:dyDescent="0.2">
      <c r="B15" s="65"/>
      <c r="C15" s="7"/>
      <c r="D15" s="8"/>
      <c r="E15" s="51"/>
      <c r="F15" s="51"/>
      <c r="G15" s="7"/>
      <c r="H15" s="8"/>
      <c r="I15" s="51"/>
      <c r="J15" s="51"/>
      <c r="K15" s="7"/>
      <c r="L15" s="8"/>
      <c r="M15" s="51"/>
      <c r="N15" s="51"/>
      <c r="O15" s="7"/>
      <c r="P15" s="8"/>
      <c r="Q15" s="51"/>
      <c r="R15" s="51"/>
      <c r="S15" s="7"/>
      <c r="T15" s="8"/>
      <c r="U15" s="51"/>
      <c r="V15" s="51"/>
      <c r="W15" s="7"/>
      <c r="X15" s="8"/>
      <c r="Y15" s="51"/>
      <c r="Z15" s="51"/>
      <c r="AA15" s="7"/>
      <c r="AB15" s="8"/>
      <c r="AC15" s="51"/>
      <c r="AD15" s="51"/>
      <c r="AE15" s="7"/>
      <c r="AF15" s="8"/>
      <c r="AG15" s="51"/>
      <c r="AH15" s="51"/>
      <c r="AI15" s="7"/>
      <c r="AJ15" s="8"/>
      <c r="AK15" s="51"/>
      <c r="AL15" s="51"/>
      <c r="AM15" s="7"/>
      <c r="AN15" s="8"/>
      <c r="AO15" s="51"/>
      <c r="AP15" s="51"/>
      <c r="AQ15" s="7"/>
      <c r="AR15" s="8"/>
      <c r="AS15" s="51"/>
      <c r="AT15" s="51"/>
      <c r="AU15" s="7"/>
      <c r="AV15" s="8"/>
      <c r="AW15" s="51"/>
      <c r="AX15" s="51"/>
      <c r="AY15" s="7"/>
      <c r="AZ15" s="8"/>
      <c r="BA15" s="51"/>
      <c r="BB15" s="51"/>
      <c r="BC15" s="7"/>
      <c r="BD15" s="8"/>
      <c r="BE15" s="51"/>
      <c r="BF15" s="51"/>
      <c r="BG15" s="7"/>
      <c r="BH15" s="8"/>
      <c r="BI15" s="51"/>
      <c r="BJ15" s="51"/>
      <c r="BK15" s="7"/>
      <c r="BL15" s="8"/>
      <c r="BM15" s="51"/>
      <c r="BN15" s="51"/>
      <c r="BO15" s="7"/>
      <c r="BP15" s="8"/>
      <c r="BQ15" s="51"/>
      <c r="BR15" s="51"/>
      <c r="BS15" s="7"/>
      <c r="BT15" s="8"/>
      <c r="BU15" s="51"/>
      <c r="BV15" s="51"/>
      <c r="BW15" s="7"/>
      <c r="BX15" s="8"/>
      <c r="BY15" s="51"/>
      <c r="BZ15" s="51"/>
      <c r="CA15" s="7"/>
      <c r="CB15" s="8"/>
      <c r="CC15" s="51"/>
      <c r="CD15" s="51"/>
    </row>
    <row r="16" spans="1:82" s="54" customFormat="1" x14ac:dyDescent="0.2">
      <c r="B16" s="33" t="s">
        <v>126</v>
      </c>
      <c r="C16" s="52"/>
      <c r="D16" s="53"/>
      <c r="E16" s="68">
        <f>477-145</f>
        <v>332</v>
      </c>
      <c r="F16" s="68">
        <f>180+145</f>
        <v>325</v>
      </c>
      <c r="G16" s="52"/>
      <c r="H16" s="53"/>
      <c r="I16" s="68">
        <v>0</v>
      </c>
      <c r="J16" s="68">
        <v>0</v>
      </c>
      <c r="K16" s="52"/>
      <c r="L16" s="53"/>
      <c r="M16" s="68">
        <v>189</v>
      </c>
      <c r="N16" s="68">
        <v>30</v>
      </c>
      <c r="O16" s="52"/>
      <c r="P16" s="53"/>
      <c r="Q16" s="68">
        <v>100</v>
      </c>
      <c r="R16" s="68">
        <v>100</v>
      </c>
      <c r="S16" s="52"/>
      <c r="T16" s="53"/>
      <c r="U16" s="68">
        <f>381.035+250</f>
        <v>631.03500000000008</v>
      </c>
      <c r="V16" s="68">
        <f>22.26</f>
        <v>22.26</v>
      </c>
      <c r="W16" s="52"/>
      <c r="X16" s="53"/>
      <c r="Y16" s="68">
        <v>0</v>
      </c>
      <c r="Z16" s="68">
        <v>0</v>
      </c>
      <c r="AA16" s="52"/>
      <c r="AB16" s="53"/>
      <c r="AC16" s="199">
        <f>908-7044</f>
        <v>-6136</v>
      </c>
      <c r="AD16" s="68">
        <f>-1239-6804</f>
        <v>-8043</v>
      </c>
      <c r="AE16" s="52"/>
      <c r="AF16" s="53"/>
      <c r="AG16" s="68">
        <v>180</v>
      </c>
      <c r="AH16" s="68">
        <v>70</v>
      </c>
      <c r="AI16" s="52"/>
      <c r="AJ16" s="53"/>
      <c r="AK16" s="68">
        <v>37.631999999999998</v>
      </c>
      <c r="AL16" s="68">
        <v>82.557000000000002</v>
      </c>
      <c r="AM16" s="52"/>
      <c r="AN16" s="53"/>
      <c r="AO16" s="68">
        <f>24+72</f>
        <v>96</v>
      </c>
      <c r="AP16" s="68">
        <f>24+52</f>
        <v>76</v>
      </c>
      <c r="AQ16" s="52"/>
      <c r="AR16" s="53"/>
      <c r="AS16" s="68">
        <v>0</v>
      </c>
      <c r="AT16" s="68">
        <v>0</v>
      </c>
      <c r="AU16" s="52"/>
      <c r="AV16" s="53"/>
      <c r="AW16" s="51">
        <v>158</v>
      </c>
      <c r="AX16" s="68">
        <v>0</v>
      </c>
      <c r="AY16" s="52"/>
      <c r="AZ16" s="53"/>
      <c r="BA16" s="51">
        <v>28.934999999999999</v>
      </c>
      <c r="BB16" s="68">
        <v>6.9950000000000001</v>
      </c>
      <c r="BC16" s="52"/>
      <c r="BD16" s="53"/>
      <c r="BE16" s="51">
        <v>0</v>
      </c>
      <c r="BF16" s="68">
        <v>0</v>
      </c>
      <c r="BG16" s="52"/>
      <c r="BH16" s="53"/>
      <c r="BI16" s="56">
        <f>BI49</f>
        <v>44.111000000000004</v>
      </c>
      <c r="BJ16" s="56">
        <f>BJ49</f>
        <v>205.60499999999999</v>
      </c>
      <c r="BK16" s="52"/>
      <c r="BL16" s="53"/>
      <c r="BM16" s="56">
        <f>283-39</f>
        <v>244</v>
      </c>
      <c r="BN16" s="68">
        <v>426</v>
      </c>
      <c r="BO16" s="52"/>
      <c r="BP16" s="53"/>
      <c r="BQ16" s="68">
        <f>24+72</f>
        <v>96</v>
      </c>
      <c r="BR16" s="54">
        <f>24+52</f>
        <v>76</v>
      </c>
      <c r="BS16" s="52"/>
      <c r="BT16" s="53"/>
      <c r="BU16" s="56">
        <v>158.554</v>
      </c>
      <c r="BV16" s="68">
        <v>126.193</v>
      </c>
      <c r="BW16" s="52"/>
      <c r="BX16" s="53"/>
      <c r="BY16" s="56">
        <v>298.97300000000001</v>
      </c>
      <c r="BZ16" s="68">
        <v>117.62</v>
      </c>
      <c r="CA16" s="52"/>
      <c r="CB16" s="53"/>
      <c r="CC16" s="56">
        <v>1.772</v>
      </c>
      <c r="CD16" s="68">
        <v>0</v>
      </c>
    </row>
    <row r="17" spans="1:82" s="54" customFormat="1" x14ac:dyDescent="0.2">
      <c r="B17" s="33" t="s">
        <v>127</v>
      </c>
      <c r="C17" s="52"/>
      <c r="D17" s="53"/>
      <c r="E17" s="56">
        <f>1541-259</f>
        <v>1282</v>
      </c>
      <c r="F17" s="56">
        <f>1041-173</f>
        <v>868</v>
      </c>
      <c r="G17" s="52"/>
      <c r="H17" s="53"/>
      <c r="I17" s="56">
        <v>0</v>
      </c>
      <c r="J17" s="56">
        <v>439.2</v>
      </c>
      <c r="K17" s="52"/>
      <c r="L17" s="53"/>
      <c r="M17" s="56">
        <v>61</v>
      </c>
      <c r="N17" s="56">
        <v>0</v>
      </c>
      <c r="O17" s="52"/>
      <c r="P17" s="53"/>
      <c r="Q17" s="56">
        <v>0</v>
      </c>
      <c r="R17" s="56">
        <v>0</v>
      </c>
      <c r="S17" s="52"/>
      <c r="T17" s="53"/>
      <c r="U17" s="56">
        <v>0</v>
      </c>
      <c r="V17" s="56">
        <v>0</v>
      </c>
      <c r="W17" s="52"/>
      <c r="X17" s="53"/>
      <c r="Y17" s="68">
        <v>0</v>
      </c>
      <c r="Z17" s="68">
        <v>0</v>
      </c>
      <c r="AA17" s="52"/>
      <c r="AB17" s="53"/>
      <c r="AC17" s="68">
        <f>10041</f>
        <v>10041</v>
      </c>
      <c r="AD17" s="68">
        <v>11915</v>
      </c>
      <c r="AE17" s="52"/>
      <c r="AF17" s="53"/>
      <c r="AG17" s="68">
        <v>110</v>
      </c>
      <c r="AH17" s="68">
        <v>407</v>
      </c>
      <c r="AI17" s="52"/>
      <c r="AJ17" s="53"/>
      <c r="AK17" s="68">
        <v>521.86599999999999</v>
      </c>
      <c r="AL17" s="68">
        <v>123.247</v>
      </c>
      <c r="AM17" s="52"/>
      <c r="AN17" s="53"/>
      <c r="AO17" s="68">
        <f>12.022</f>
        <v>12.022</v>
      </c>
      <c r="AP17" s="68">
        <f>17.537</f>
        <v>17.536999999999999</v>
      </c>
      <c r="AQ17" s="52"/>
      <c r="AR17" s="53"/>
      <c r="AS17" s="68">
        <v>0</v>
      </c>
      <c r="AT17" s="68">
        <v>166.11199999999999</v>
      </c>
      <c r="AU17" s="52"/>
      <c r="AV17" s="53"/>
      <c r="AW17" s="68">
        <v>-75</v>
      </c>
      <c r="AX17" s="68">
        <v>0</v>
      </c>
      <c r="AY17" s="52"/>
      <c r="AZ17" s="53"/>
      <c r="BA17" s="68">
        <v>11.095000000000001</v>
      </c>
      <c r="BB17" s="68">
        <v>5.0380000000000003</v>
      </c>
      <c r="BC17" s="52"/>
      <c r="BD17" s="53"/>
      <c r="BE17" s="68">
        <v>63</v>
      </c>
      <c r="BF17" s="68">
        <v>0</v>
      </c>
      <c r="BG17" s="52"/>
      <c r="BH17" s="53"/>
      <c r="BI17" s="68">
        <v>1053.5840000000001</v>
      </c>
      <c r="BJ17" s="68">
        <v>737.28399999999999</v>
      </c>
      <c r="BK17" s="52"/>
      <c r="BL17" s="53"/>
      <c r="BM17" s="68">
        <v>688</v>
      </c>
      <c r="BN17" s="68">
        <v>29</v>
      </c>
      <c r="BO17" s="52"/>
      <c r="BP17" s="53"/>
      <c r="BQ17" s="68">
        <v>17.536999999999999</v>
      </c>
      <c r="BR17" s="56">
        <v>12.022</v>
      </c>
      <c r="BS17" s="52"/>
      <c r="BT17" s="53"/>
      <c r="BU17" s="68">
        <v>0</v>
      </c>
      <c r="BV17" s="68">
        <v>22.669</v>
      </c>
      <c r="BW17" s="52"/>
      <c r="BX17" s="53"/>
      <c r="BY17" s="68">
        <v>0</v>
      </c>
      <c r="BZ17" s="68">
        <v>0</v>
      </c>
      <c r="CA17" s="52"/>
      <c r="CB17" s="53"/>
      <c r="CC17" s="68">
        <v>0</v>
      </c>
      <c r="CD17" s="68">
        <v>0</v>
      </c>
    </row>
    <row r="18" spans="1:82" s="58" customFormat="1" x14ac:dyDescent="0.2">
      <c r="B18" s="59" t="s">
        <v>128</v>
      </c>
      <c r="C18" s="63"/>
      <c r="D18" s="64"/>
      <c r="E18" s="61">
        <f>E19-E16-E17</f>
        <v>11048</v>
      </c>
      <c r="F18" s="61">
        <f>F19-F16-F17</f>
        <v>8004</v>
      </c>
      <c r="G18" s="63"/>
      <c r="H18" s="64"/>
      <c r="I18" s="61">
        <f>I19-I16-I17</f>
        <v>301.82</v>
      </c>
      <c r="J18" s="61">
        <f>J19-J16-J17</f>
        <v>210.52000000000004</v>
      </c>
      <c r="K18" s="63"/>
      <c r="L18" s="64"/>
      <c r="M18" s="61">
        <f>M19-M16-M17</f>
        <v>2903</v>
      </c>
      <c r="N18" s="61">
        <f>N19-N16-N17</f>
        <v>732</v>
      </c>
      <c r="O18" s="63"/>
      <c r="P18" s="64"/>
      <c r="Q18" s="61">
        <f>Q19-Q16-Q17</f>
        <v>1695.1690000000001</v>
      </c>
      <c r="R18" s="61">
        <f>R19-R16-R17</f>
        <v>1368.5139999999999</v>
      </c>
      <c r="S18" s="63"/>
      <c r="T18" s="64"/>
      <c r="U18" s="61">
        <f>U19-U16-U17</f>
        <v>2736.880000000001</v>
      </c>
      <c r="V18" s="61">
        <f>V19-V16-V17</f>
        <v>498.39199999999994</v>
      </c>
      <c r="W18" s="63"/>
      <c r="X18" s="64"/>
      <c r="Y18" s="61">
        <f>Y19-Y16-Y17</f>
        <v>174.60100000000057</v>
      </c>
      <c r="Z18" s="61">
        <f>Z19-Z16-Z17</f>
        <v>167.85499999999956</v>
      </c>
      <c r="AA18" s="63"/>
      <c r="AB18" s="64"/>
      <c r="AC18" s="61">
        <f>AC19-AC16-AC17</f>
        <v>25606</v>
      </c>
      <c r="AD18" s="61">
        <f>AD19-AD16-AD17</f>
        <v>25559</v>
      </c>
      <c r="AE18" s="63"/>
      <c r="AF18" s="64"/>
      <c r="AG18" s="61">
        <f>AG19-AG16-AG17</f>
        <v>1413</v>
      </c>
      <c r="AH18" s="61">
        <f>AH19-AH16-AH17</f>
        <v>1334</v>
      </c>
      <c r="AI18" s="63"/>
      <c r="AJ18" s="64"/>
      <c r="AK18" s="61">
        <f>AK19-AK16-AK17</f>
        <v>5840.0400000000009</v>
      </c>
      <c r="AL18" s="61">
        <f>AL19-AL16-AL17</f>
        <v>6743.4579999999987</v>
      </c>
      <c r="AM18" s="63"/>
      <c r="AN18" s="64"/>
      <c r="AO18" s="61">
        <f>AO19-AO16-AO17</f>
        <v>2889.681</v>
      </c>
      <c r="AP18" s="61">
        <f>AP19-AP16-AP17</f>
        <v>2249.5150000000003</v>
      </c>
      <c r="AQ18" s="63"/>
      <c r="AR18" s="64"/>
      <c r="AS18" s="61">
        <f>AS19-AS16-AS17</f>
        <v>1178.1039999999998</v>
      </c>
      <c r="AT18" s="61">
        <f>AT19-AT16-AT17</f>
        <v>200.64699999999979</v>
      </c>
      <c r="AU18" s="63"/>
      <c r="AV18" s="64"/>
      <c r="AW18" s="61">
        <f>AW19-AW16-AW17</f>
        <v>9016</v>
      </c>
      <c r="AX18" s="61">
        <f>AX19-AX16-AX17</f>
        <v>8527</v>
      </c>
      <c r="AY18" s="63"/>
      <c r="AZ18" s="64"/>
      <c r="BA18" s="61">
        <f>BA19-BA16-BA17</f>
        <v>350.3669999999999</v>
      </c>
      <c r="BB18" s="61">
        <f>BB19-BB16-BB17</f>
        <v>117.2</v>
      </c>
      <c r="BC18" s="63"/>
      <c r="BD18" s="64"/>
      <c r="BE18" s="61">
        <f>BE19-BE16-BE17</f>
        <v>998.82199999999921</v>
      </c>
      <c r="BF18" s="61">
        <f>BF19-BF16-BF17</f>
        <v>831.66399999999976</v>
      </c>
      <c r="BG18" s="63"/>
      <c r="BH18" s="64"/>
      <c r="BI18" s="61">
        <f>BI19-BI16-BI17</f>
        <v>2769.1310000000003</v>
      </c>
      <c r="BJ18" s="61">
        <f>BJ19-BJ16-BJ17</f>
        <v>1559.134</v>
      </c>
      <c r="BK18" s="63"/>
      <c r="BL18" s="64"/>
      <c r="BM18" s="61">
        <f>BM19-BM16-BM17</f>
        <v>4931</v>
      </c>
      <c r="BN18" s="61">
        <f>BN19-BN16-BN17</f>
        <v>3049</v>
      </c>
      <c r="BO18" s="63"/>
      <c r="BP18" s="64"/>
      <c r="BQ18" s="61">
        <f>BQ19-BQ16-BQ17</f>
        <v>2884.1660000000002</v>
      </c>
      <c r="BR18" s="61">
        <f>BR19-BR16-BR17</f>
        <v>2255.0300000000002</v>
      </c>
      <c r="BS18" s="63"/>
      <c r="BT18" s="64"/>
      <c r="BU18" s="61">
        <f>BU19-BU16-BU17</f>
        <v>1626.3629999999998</v>
      </c>
      <c r="BV18" s="61">
        <f>BV19-BV16-BV17</f>
        <v>993.81100000000004</v>
      </c>
      <c r="BW18" s="63"/>
      <c r="BX18" s="64"/>
      <c r="BY18" s="61">
        <f>BY19-BY16-BY17</f>
        <v>1334.9360000000001</v>
      </c>
      <c r="BZ18" s="61">
        <f>BZ19-BZ16-BZ17</f>
        <v>636.67200000000014</v>
      </c>
      <c r="CA18" s="63"/>
      <c r="CB18" s="64"/>
      <c r="CC18" s="61">
        <f>CC19-CC16-CC17</f>
        <v>1860.2920000000004</v>
      </c>
      <c r="CD18" s="61">
        <f>CD19-CD16-CD17</f>
        <v>655.82099999999991</v>
      </c>
    </row>
    <row r="19" spans="1:82" s="54" customFormat="1" x14ac:dyDescent="0.2">
      <c r="A19" s="69" t="s">
        <v>129</v>
      </c>
      <c r="B19" s="33"/>
      <c r="C19" s="52"/>
      <c r="D19" s="53"/>
      <c r="E19" s="56">
        <f>11048+1614</f>
        <v>12662</v>
      </c>
      <c r="F19" s="56">
        <f>8004+1193</f>
        <v>9197</v>
      </c>
      <c r="G19" s="52"/>
      <c r="H19" s="53"/>
      <c r="I19" s="56">
        <f>301.82</f>
        <v>301.82</v>
      </c>
      <c r="J19" s="56">
        <v>649.72</v>
      </c>
      <c r="K19" s="52"/>
      <c r="L19" s="53"/>
      <c r="M19" s="56">
        <f>5488-666-M8</f>
        <v>3153</v>
      </c>
      <c r="N19" s="56">
        <f>990+7-N8</f>
        <v>762</v>
      </c>
      <c r="O19" s="52"/>
      <c r="P19" s="53"/>
      <c r="Q19" s="56">
        <f>21.142+1774.027</f>
        <v>1795.1690000000001</v>
      </c>
      <c r="R19" s="56">
        <f>27.754+1440.76</f>
        <v>1468.5139999999999</v>
      </c>
      <c r="S19" s="52"/>
      <c r="T19" s="53"/>
      <c r="U19" s="56">
        <f>9069.789-U8</f>
        <v>3367.9150000000009</v>
      </c>
      <c r="V19" s="56">
        <f>799.454-V8</f>
        <v>520.65199999999993</v>
      </c>
      <c r="W19" s="52"/>
      <c r="X19" s="53"/>
      <c r="Y19" s="56">
        <f>10912.261-Y8</f>
        <v>174.60100000000057</v>
      </c>
      <c r="Z19" s="56">
        <f>6907.721-Z8</f>
        <v>167.85499999999956</v>
      </c>
      <c r="AA19" s="52"/>
      <c r="AB19" s="53"/>
      <c r="AC19" s="56">
        <f>52769+20202-AC8</f>
        <v>29511</v>
      </c>
      <c r="AD19" s="56">
        <f>43496+17921-AD8</f>
        <v>29431</v>
      </c>
      <c r="AE19" s="52"/>
      <c r="AF19" s="53"/>
      <c r="AG19" s="56">
        <f>8168-AG8</f>
        <v>1703</v>
      </c>
      <c r="AH19" s="56">
        <f>7269-AH8</f>
        <v>1811</v>
      </c>
      <c r="AI19" s="52"/>
      <c r="AJ19" s="53"/>
      <c r="AK19" s="56">
        <f>17572.274-AK8</f>
        <v>6399.5380000000005</v>
      </c>
      <c r="AL19" s="56">
        <f>18549.225-AL8</f>
        <v>6949.2619999999988</v>
      </c>
      <c r="AM19" s="52"/>
      <c r="AN19" s="53"/>
      <c r="AO19" s="56">
        <f>2997.703</f>
        <v>2997.703</v>
      </c>
      <c r="AP19" s="56">
        <f>2343.052</f>
        <v>2343.0520000000001</v>
      </c>
      <c r="AQ19" s="52"/>
      <c r="AR19" s="53"/>
      <c r="AS19" s="56">
        <f>3618.711-AS8</f>
        <v>1178.1039999999998</v>
      </c>
      <c r="AT19" s="56">
        <f>2098.923-AT8</f>
        <v>366.75899999999979</v>
      </c>
      <c r="AU19" s="52"/>
      <c r="AV19" s="53"/>
      <c r="AW19" s="56">
        <f>26600+8599-75+158-AW8</f>
        <v>9099</v>
      </c>
      <c r="AX19" s="56">
        <f>26450+8027-81+90-AX8</f>
        <v>8527</v>
      </c>
      <c r="AY19" s="52"/>
      <c r="AZ19" s="53"/>
      <c r="BA19" s="56">
        <f>677.545-BA8</f>
        <v>390.39699999999993</v>
      </c>
      <c r="BB19" s="56">
        <f>203.933-BB8</f>
        <v>129.233</v>
      </c>
      <c r="BC19" s="52"/>
      <c r="BD19" s="53"/>
      <c r="BE19" s="56">
        <f>5510.717-BE8</f>
        <v>1061.8219999999992</v>
      </c>
      <c r="BF19" s="56">
        <f>2972.278-BF8</f>
        <v>831.66399999999976</v>
      </c>
      <c r="BG19" s="52"/>
      <c r="BH19" s="53"/>
      <c r="BI19" s="56">
        <f>1625.34+3535.29-BI8</f>
        <v>3866.826</v>
      </c>
      <c r="BJ19" s="56">
        <f>1140.758+2305.965-BJ8</f>
        <v>2502.0230000000001</v>
      </c>
      <c r="BK19" s="52"/>
      <c r="BL19" s="53"/>
      <c r="BM19" s="56">
        <f>5863</f>
        <v>5863</v>
      </c>
      <c r="BN19" s="56">
        <v>3504</v>
      </c>
      <c r="BO19" s="52"/>
      <c r="BP19" s="53"/>
      <c r="BQ19" s="56">
        <v>2997.703</v>
      </c>
      <c r="BR19" s="56">
        <f>2343.052</f>
        <v>2343.0520000000001</v>
      </c>
      <c r="BS19" s="52"/>
      <c r="BT19" s="53"/>
      <c r="BU19" s="56">
        <f>3964.493-BU8</f>
        <v>1784.9169999999999</v>
      </c>
      <c r="BV19" s="56">
        <f>2467.658-BV8</f>
        <v>1142.673</v>
      </c>
      <c r="BW19" s="52"/>
      <c r="BX19" s="53"/>
      <c r="BY19" s="56">
        <f>4054.8-BY8</f>
        <v>1633.9090000000001</v>
      </c>
      <c r="BZ19" s="56">
        <f>1398.284-BZ8</f>
        <v>754.29200000000014</v>
      </c>
      <c r="CA19" s="52"/>
      <c r="CB19" s="53"/>
      <c r="CC19" s="56">
        <f>2397.117-282.756-CC8</f>
        <v>1862.0640000000003</v>
      </c>
      <c r="CD19" s="56">
        <f>105.117+559.555-CD8</f>
        <v>655.82099999999991</v>
      </c>
    </row>
    <row r="20" spans="1:82" s="54" customFormat="1" ht="6.75" customHeight="1" x14ac:dyDescent="0.2">
      <c r="A20" s="69"/>
      <c r="B20" s="33"/>
      <c r="C20" s="52"/>
      <c r="D20" s="53"/>
      <c r="E20" s="51"/>
      <c r="F20" s="51"/>
      <c r="G20" s="52"/>
      <c r="H20" s="53"/>
      <c r="I20" s="51"/>
      <c r="J20" s="51"/>
      <c r="K20" s="52"/>
      <c r="L20" s="53"/>
      <c r="M20" s="51"/>
      <c r="N20" s="51"/>
      <c r="O20" s="52"/>
      <c r="P20" s="53"/>
      <c r="Q20" s="51"/>
      <c r="R20" s="51"/>
      <c r="S20" s="52"/>
      <c r="T20" s="53"/>
      <c r="U20" s="51"/>
      <c r="V20" s="51"/>
      <c r="W20" s="52"/>
      <c r="X20" s="53"/>
      <c r="Y20" s="51"/>
      <c r="Z20" s="51"/>
      <c r="AA20" s="52"/>
      <c r="AB20" s="53"/>
      <c r="AC20" s="51"/>
      <c r="AD20" s="51"/>
      <c r="AE20" s="52"/>
      <c r="AF20" s="53"/>
      <c r="AG20" s="51"/>
      <c r="AH20" s="51"/>
      <c r="AI20" s="52"/>
      <c r="AJ20" s="53"/>
      <c r="AK20" s="51"/>
      <c r="AL20" s="51"/>
      <c r="AM20" s="52"/>
      <c r="AN20" s="53"/>
      <c r="AO20" s="51"/>
      <c r="AP20" s="51"/>
      <c r="AQ20" s="52"/>
      <c r="AR20" s="53"/>
      <c r="AS20" s="51"/>
      <c r="AT20" s="51"/>
      <c r="AU20" s="52"/>
      <c r="AV20" s="53"/>
      <c r="AW20" s="51"/>
      <c r="AX20" s="51"/>
      <c r="AY20" s="52"/>
      <c r="AZ20" s="53"/>
      <c r="BA20" s="51"/>
      <c r="BB20" s="51"/>
      <c r="BC20" s="52"/>
      <c r="BD20" s="53"/>
      <c r="BE20" s="51"/>
      <c r="BF20" s="51"/>
      <c r="BG20" s="52"/>
      <c r="BH20" s="53"/>
      <c r="BI20" s="51"/>
      <c r="BJ20" s="51"/>
      <c r="BK20" s="52"/>
      <c r="BL20" s="53"/>
      <c r="BM20" s="51"/>
      <c r="BN20" s="51"/>
      <c r="BO20" s="52"/>
      <c r="BP20" s="53"/>
      <c r="BQ20" s="51"/>
      <c r="BR20" s="51"/>
      <c r="BS20" s="52"/>
      <c r="BT20" s="53"/>
      <c r="BU20" s="51"/>
      <c r="BV20" s="51"/>
      <c r="BW20" s="52"/>
      <c r="BX20" s="53"/>
      <c r="BY20" s="51"/>
      <c r="BZ20" s="51"/>
      <c r="CA20" s="52"/>
      <c r="CB20" s="53"/>
      <c r="CC20" s="51"/>
      <c r="CD20" s="51"/>
    </row>
    <row r="21" spans="1:82" s="54" customFormat="1" x14ac:dyDescent="0.2">
      <c r="A21" s="69"/>
      <c r="B21" s="33" t="s">
        <v>130</v>
      </c>
      <c r="C21" s="52"/>
      <c r="D21" s="53"/>
      <c r="E21" s="51">
        <f>E9+E14-E19</f>
        <v>5940</v>
      </c>
      <c r="F21" s="51">
        <f>F9+F14-F19</f>
        <v>4172</v>
      </c>
      <c r="G21" s="52"/>
      <c r="H21" s="53"/>
      <c r="I21" s="51">
        <f>I9+I14-I19</f>
        <v>890.89500000000021</v>
      </c>
      <c r="J21" s="51">
        <f>J9+J14-J19</f>
        <v>464.70899999999983</v>
      </c>
      <c r="K21" s="52"/>
      <c r="L21" s="53"/>
      <c r="M21" s="51">
        <f>M9+M14-M19</f>
        <v>666</v>
      </c>
      <c r="N21" s="51">
        <f>N9+N14-N19</f>
        <v>-7</v>
      </c>
      <c r="O21" s="52"/>
      <c r="P21" s="53"/>
      <c r="Q21" s="51">
        <f>Q9+Q14-Q19</f>
        <v>1177.7099999999989</v>
      </c>
      <c r="R21" s="51">
        <f>R9+R14-R19</f>
        <v>1336.2150000000004</v>
      </c>
      <c r="S21" s="52"/>
      <c r="T21" s="53"/>
      <c r="U21" s="51">
        <f>U9+U14-U19</f>
        <v>870.08699999999953</v>
      </c>
      <c r="V21" s="51">
        <f>V9+V14-V19</f>
        <v>-93.002999999999929</v>
      </c>
      <c r="W21" s="52"/>
      <c r="X21" s="53"/>
      <c r="Y21" s="51">
        <f>Y9+Y14-Y19</f>
        <v>-1380.2430000000004</v>
      </c>
      <c r="Z21" s="51">
        <f>Z9+Z14-Z19</f>
        <v>904.4980000000005</v>
      </c>
      <c r="AA21" s="52"/>
      <c r="AB21" s="53"/>
      <c r="AC21" s="51">
        <f>AC9+AC14-AC19</f>
        <v>26283</v>
      </c>
      <c r="AD21" s="51">
        <f>AD9+AD14-AD19</f>
        <v>11969</v>
      </c>
      <c r="AE21" s="52"/>
      <c r="AF21" s="53"/>
      <c r="AG21" s="51">
        <f>AG9+AG14-AG19</f>
        <v>3986</v>
      </c>
      <c r="AH21" s="51">
        <f>AH9+AH14-AH19</f>
        <v>3124</v>
      </c>
      <c r="AI21" s="52"/>
      <c r="AJ21" s="53"/>
      <c r="AK21" s="51">
        <f>AK9+AK14-AK19</f>
        <v>3541.1469999999972</v>
      </c>
      <c r="AL21" s="51">
        <f>AL9+AL14-AL19</f>
        <v>2052.4320000000007</v>
      </c>
      <c r="AM21" s="52"/>
      <c r="AN21" s="53"/>
      <c r="AO21" s="51">
        <f>AO9+AO14-AO19</f>
        <v>477.11299999999937</v>
      </c>
      <c r="AP21" s="51">
        <f>AP9+AP14-AP19</f>
        <v>394.99199999999973</v>
      </c>
      <c r="AQ21" s="52"/>
      <c r="AR21" s="53"/>
      <c r="AS21" s="51">
        <f>AS9+AS14-AS19</f>
        <v>402.74900000000025</v>
      </c>
      <c r="AT21" s="51">
        <f>AT9+AT14-AT19</f>
        <v>676.596</v>
      </c>
      <c r="AU21" s="52"/>
      <c r="AV21" s="53"/>
      <c r="AW21" s="51">
        <f>AW9+AW14-AW19</f>
        <v>36312</v>
      </c>
      <c r="AX21" s="51">
        <f>AX9+AX14-AX19</f>
        <v>33642</v>
      </c>
      <c r="AY21" s="52"/>
      <c r="AZ21" s="53"/>
      <c r="BA21" s="51">
        <f>BA9+BA14-BA19</f>
        <v>174.98500000000001</v>
      </c>
      <c r="BB21" s="51">
        <f>BB9+BB14-BB19</f>
        <v>100.21300000000002</v>
      </c>
      <c r="BC21" s="52"/>
      <c r="BD21" s="53"/>
      <c r="BE21" s="51">
        <f>BE9+BE14-BE19</f>
        <v>1496.7390000000005</v>
      </c>
      <c r="BF21" s="51">
        <f>BF9+BF14-BF19</f>
        <v>467.98200000000043</v>
      </c>
      <c r="BG21" s="52"/>
      <c r="BH21" s="53"/>
      <c r="BI21" s="51">
        <f>BI9+BI14-BI19</f>
        <v>694.20699999999943</v>
      </c>
      <c r="BJ21" s="51">
        <f>BJ9+BJ14-BJ19</f>
        <v>538.08300000000008</v>
      </c>
      <c r="BK21" s="52"/>
      <c r="BL21" s="53"/>
      <c r="BM21" s="51">
        <f>BM9+BM14-BM19</f>
        <v>2750</v>
      </c>
      <c r="BN21" s="51">
        <f>BN9+BN14-BN19</f>
        <v>1603</v>
      </c>
      <c r="BO21" s="52"/>
      <c r="BP21" s="53"/>
      <c r="BQ21" s="51">
        <f>BQ9+BQ14-BQ19</f>
        <v>477.11299999999937</v>
      </c>
      <c r="BR21" s="51">
        <f>BR9+BR14-BR19</f>
        <v>394.99199999999973</v>
      </c>
      <c r="BS21" s="52"/>
      <c r="BT21" s="53"/>
      <c r="BU21" s="51">
        <f>BU9+BU14-BU19</f>
        <v>3543.8110000000001</v>
      </c>
      <c r="BV21" s="51">
        <f>BV9+BV14-BV19</f>
        <v>1496.7549999999999</v>
      </c>
      <c r="BW21" s="52"/>
      <c r="BX21" s="53"/>
      <c r="BY21" s="51">
        <f>BY9+BY14-BY19</f>
        <v>2102.2559999999994</v>
      </c>
      <c r="BZ21" s="51">
        <f>BZ9+BZ14-BZ19</f>
        <v>804.60899999999992</v>
      </c>
      <c r="CA21" s="52"/>
      <c r="CB21" s="53"/>
      <c r="CC21" s="51">
        <f>CC9+CC14-CC19</f>
        <v>282.8159999999998</v>
      </c>
      <c r="CD21" s="51">
        <f>CD9+CD14-CD19</f>
        <v>-559.55499999999995</v>
      </c>
    </row>
    <row r="22" spans="1:82" s="54" customFormat="1" ht="18" customHeight="1" x14ac:dyDescent="0.2">
      <c r="B22" s="33"/>
      <c r="C22" s="52"/>
      <c r="D22" s="53"/>
      <c r="E22" s="56"/>
      <c r="F22" s="56"/>
      <c r="G22" s="52"/>
      <c r="H22" s="53"/>
      <c r="I22" s="56"/>
      <c r="J22" s="56"/>
      <c r="K22" s="52"/>
      <c r="L22" s="53"/>
      <c r="M22" s="56"/>
      <c r="N22" s="56"/>
      <c r="O22" s="52"/>
      <c r="P22" s="53"/>
      <c r="Q22" s="56"/>
      <c r="R22" s="56"/>
      <c r="S22" s="52"/>
      <c r="T22" s="53"/>
      <c r="U22" s="56"/>
      <c r="V22" s="56"/>
      <c r="W22" s="52"/>
      <c r="X22" s="53"/>
      <c r="Y22" s="56"/>
      <c r="Z22" s="56"/>
      <c r="AA22" s="52"/>
      <c r="AB22" s="53"/>
      <c r="AC22" s="56"/>
      <c r="AD22" s="56"/>
      <c r="AE22" s="52"/>
      <c r="AF22" s="53"/>
      <c r="AG22" s="56"/>
      <c r="AH22" s="56"/>
      <c r="AI22" s="52"/>
      <c r="AJ22" s="53"/>
      <c r="AK22" s="56"/>
      <c r="AL22" s="56"/>
      <c r="AM22" s="52"/>
      <c r="AN22" s="53"/>
      <c r="AO22" s="56"/>
      <c r="AP22" s="56"/>
      <c r="AQ22" s="52"/>
      <c r="AR22" s="53"/>
      <c r="AS22" s="56"/>
      <c r="AT22" s="56"/>
      <c r="AU22" s="52"/>
      <c r="AV22" s="53"/>
      <c r="AW22" s="56"/>
      <c r="AX22" s="56"/>
      <c r="AY22" s="52"/>
      <c r="AZ22" s="53"/>
      <c r="BA22" s="56"/>
      <c r="BB22" s="56"/>
      <c r="BC22" s="52"/>
      <c r="BD22" s="53"/>
      <c r="BE22" s="56"/>
      <c r="BF22" s="56"/>
      <c r="BG22" s="52"/>
      <c r="BH22" s="53"/>
      <c r="BI22" s="56"/>
      <c r="BJ22" s="56"/>
      <c r="BK22" s="52"/>
      <c r="BL22" s="53"/>
      <c r="BM22" s="56"/>
      <c r="BN22" s="56"/>
      <c r="BO22" s="52"/>
      <c r="BP22" s="53"/>
      <c r="BQ22" s="56"/>
      <c r="BR22" s="56"/>
      <c r="BS22" s="52"/>
      <c r="BT22" s="53"/>
      <c r="BU22" s="56"/>
      <c r="BV22" s="56"/>
      <c r="BW22" s="52"/>
      <c r="BX22" s="53"/>
      <c r="BY22" s="56"/>
      <c r="BZ22" s="56"/>
      <c r="CA22" s="52"/>
      <c r="CB22" s="53"/>
      <c r="CC22" s="56"/>
      <c r="CD22" s="56"/>
    </row>
    <row r="23" spans="1:82" s="38" customFormat="1" x14ac:dyDescent="0.2">
      <c r="B23" s="39" t="s">
        <v>131</v>
      </c>
      <c r="C23" s="46"/>
      <c r="D23" s="47"/>
      <c r="E23" s="43">
        <v>1983</v>
      </c>
      <c r="F23" s="43">
        <v>1388</v>
      </c>
      <c r="G23" s="46"/>
      <c r="H23" s="47"/>
      <c r="I23" s="43">
        <v>288.47500000000002</v>
      </c>
      <c r="J23" s="43">
        <v>146.22499999999999</v>
      </c>
      <c r="K23" s="46"/>
      <c r="L23" s="47"/>
      <c r="M23" s="43">
        <v>222</v>
      </c>
      <c r="N23" s="43">
        <v>14</v>
      </c>
      <c r="O23" s="46"/>
      <c r="P23" s="47"/>
      <c r="Q23" s="43">
        <v>404.41899999999998</v>
      </c>
      <c r="R23" s="43">
        <v>468.34500000000003</v>
      </c>
      <c r="S23" s="46"/>
      <c r="T23" s="47"/>
      <c r="U23" s="43">
        <v>390.31599999999997</v>
      </c>
      <c r="V23" s="43">
        <v>0</v>
      </c>
      <c r="W23" s="46"/>
      <c r="X23" s="47"/>
      <c r="Y23" s="43">
        <v>-607.52499999999998</v>
      </c>
      <c r="Z23" s="43">
        <v>298.48399999999998</v>
      </c>
      <c r="AA23" s="46"/>
      <c r="AB23" s="47"/>
      <c r="AC23" s="43">
        <v>8705</v>
      </c>
      <c r="AD23" s="43">
        <v>4259</v>
      </c>
      <c r="AE23" s="46"/>
      <c r="AF23" s="47"/>
      <c r="AG23" s="43">
        <v>1325</v>
      </c>
      <c r="AH23" s="43">
        <v>1042</v>
      </c>
      <c r="AI23" s="46"/>
      <c r="AJ23" s="47"/>
      <c r="AK23" s="43">
        <v>1158.269</v>
      </c>
      <c r="AL23" s="43">
        <v>733.93</v>
      </c>
      <c r="AM23" s="46"/>
      <c r="AN23" s="47"/>
      <c r="AO23" s="43">
        <v>157.14099999999999</v>
      </c>
      <c r="AP23" s="43">
        <v>132.59100000000001</v>
      </c>
      <c r="AQ23" s="46"/>
      <c r="AR23" s="47"/>
      <c r="AS23" s="43">
        <v>167.69399999999999</v>
      </c>
      <c r="AT23" s="43">
        <v>213.50700000000001</v>
      </c>
      <c r="AU23" s="46"/>
      <c r="AV23" s="47"/>
      <c r="AW23" s="43">
        <v>174</v>
      </c>
      <c r="AX23" s="43">
        <v>-42</v>
      </c>
      <c r="AY23" s="46"/>
      <c r="AZ23" s="47"/>
      <c r="BA23" s="43">
        <v>62.49</v>
      </c>
      <c r="BB23" s="43">
        <v>6.3019999999999996</v>
      </c>
      <c r="BC23" s="46"/>
      <c r="BD23" s="47"/>
      <c r="BE23" s="43">
        <v>0</v>
      </c>
      <c r="BF23" s="43">
        <v>31.187999999999999</v>
      </c>
      <c r="BG23" s="46"/>
      <c r="BH23" s="47"/>
      <c r="BI23" s="43">
        <v>313.83300000000003</v>
      </c>
      <c r="BJ23" s="43">
        <v>157.52199999999999</v>
      </c>
      <c r="BK23" s="46"/>
      <c r="BL23" s="47"/>
      <c r="BM23" s="43">
        <v>161</v>
      </c>
      <c r="BN23" s="43">
        <v>173</v>
      </c>
      <c r="BO23" s="46"/>
      <c r="BP23" s="47"/>
      <c r="BQ23" s="43">
        <v>157.14099999999999</v>
      </c>
      <c r="BR23" s="43">
        <v>132.59100000000001</v>
      </c>
      <c r="BS23" s="46"/>
      <c r="BT23" s="47"/>
      <c r="BU23" s="43">
        <v>903.64099999999996</v>
      </c>
      <c r="BV23" s="43">
        <v>535.66600000000005</v>
      </c>
      <c r="BW23" s="46"/>
      <c r="BX23" s="47"/>
      <c r="BY23" s="43">
        <v>790.65899999999999</v>
      </c>
      <c r="BZ23" s="43">
        <v>306.58600000000001</v>
      </c>
      <c r="CA23" s="46"/>
      <c r="CB23" s="47"/>
      <c r="CC23" s="43">
        <v>0</v>
      </c>
      <c r="CD23" s="43">
        <v>0</v>
      </c>
    </row>
    <row r="24" spans="1:82" s="74" customFormat="1" x14ac:dyDescent="0.2">
      <c r="A24" s="13" t="s">
        <v>132</v>
      </c>
      <c r="B24" s="70"/>
      <c r="C24" s="72"/>
      <c r="D24" s="73"/>
      <c r="E24" s="32">
        <f>E21-E23</f>
        <v>3957</v>
      </c>
      <c r="F24" s="32">
        <f>F21-F23</f>
        <v>2784</v>
      </c>
      <c r="G24" s="72"/>
      <c r="H24" s="73"/>
      <c r="I24" s="32">
        <f>I21-I23</f>
        <v>602.42000000000019</v>
      </c>
      <c r="J24" s="32">
        <f>J21-J23</f>
        <v>318.48399999999981</v>
      </c>
      <c r="K24" s="72"/>
      <c r="L24" s="73"/>
      <c r="M24" s="32">
        <f>M21-M23</f>
        <v>444</v>
      </c>
      <c r="N24" s="32">
        <f>N21-N23</f>
        <v>-21</v>
      </c>
      <c r="O24" s="72"/>
      <c r="P24" s="73"/>
      <c r="Q24" s="32">
        <f>Q21-Q23</f>
        <v>773.29099999999892</v>
      </c>
      <c r="R24" s="32">
        <f>R21-R23</f>
        <v>867.87000000000035</v>
      </c>
      <c r="S24" s="72"/>
      <c r="T24" s="73"/>
      <c r="U24" s="32">
        <f>U21-U23</f>
        <v>479.77099999999956</v>
      </c>
      <c r="V24" s="32">
        <f>V21-V23</f>
        <v>-93.002999999999929</v>
      </c>
      <c r="W24" s="72"/>
      <c r="X24" s="73"/>
      <c r="Y24" s="32">
        <f>Y21-Y23</f>
        <v>-772.71800000000042</v>
      </c>
      <c r="Z24" s="32">
        <f>Z21-Z23</f>
        <v>606.01400000000058</v>
      </c>
      <c r="AA24" s="72"/>
      <c r="AB24" s="73"/>
      <c r="AC24" s="32">
        <f>AC21-AC23</f>
        <v>17578</v>
      </c>
      <c r="AD24" s="32">
        <f>AD21-AD23</f>
        <v>7710</v>
      </c>
      <c r="AE24" s="72"/>
      <c r="AF24" s="73"/>
      <c r="AG24" s="32">
        <f>AG21-AG23</f>
        <v>2661</v>
      </c>
      <c r="AH24" s="32">
        <f>AH21-AH23</f>
        <v>2082</v>
      </c>
      <c r="AI24" s="72"/>
      <c r="AJ24" s="73"/>
      <c r="AK24" s="32">
        <f>AK21-AK23</f>
        <v>2382.877999999997</v>
      </c>
      <c r="AL24" s="32">
        <f>AL21-AL23</f>
        <v>1318.5020000000009</v>
      </c>
      <c r="AM24" s="72"/>
      <c r="AN24" s="73"/>
      <c r="AO24" s="32">
        <f>AO21-AO23</f>
        <v>319.97199999999941</v>
      </c>
      <c r="AP24" s="32">
        <f>AP21-AP23</f>
        <v>262.40099999999973</v>
      </c>
      <c r="AQ24" s="72"/>
      <c r="AR24" s="73"/>
      <c r="AS24" s="32">
        <f>AS21-AS23</f>
        <v>235.05500000000026</v>
      </c>
      <c r="AT24" s="32">
        <f>AT21-AT23</f>
        <v>463.089</v>
      </c>
      <c r="AU24" s="72"/>
      <c r="AV24" s="73"/>
      <c r="AW24" s="32">
        <f>AW21-AW23</f>
        <v>36138</v>
      </c>
      <c r="AX24" s="32">
        <f>AX21-AX23</f>
        <v>33684</v>
      </c>
      <c r="AY24" s="72"/>
      <c r="AZ24" s="73"/>
      <c r="BA24" s="32">
        <f>BA21-BA23</f>
        <v>112.495</v>
      </c>
      <c r="BB24" s="32">
        <f>BB21-BB23</f>
        <v>93.91100000000003</v>
      </c>
      <c r="BC24" s="72"/>
      <c r="BD24" s="73"/>
      <c r="BE24" s="32">
        <f>BE21-BE23</f>
        <v>1496.7390000000005</v>
      </c>
      <c r="BF24" s="32">
        <f>BF21-BF23</f>
        <v>436.79400000000044</v>
      </c>
      <c r="BG24" s="72"/>
      <c r="BH24" s="73"/>
      <c r="BI24" s="32">
        <f>BI21-BI23</f>
        <v>380.3739999999994</v>
      </c>
      <c r="BJ24" s="32">
        <f>BJ21-BJ23</f>
        <v>380.56100000000009</v>
      </c>
      <c r="BK24" s="72"/>
      <c r="BL24" s="73"/>
      <c r="BM24" s="32">
        <f>BM21-BM23</f>
        <v>2589</v>
      </c>
      <c r="BN24" s="32">
        <f>BN21-BN23</f>
        <v>1430</v>
      </c>
      <c r="BO24" s="72"/>
      <c r="BP24" s="73"/>
      <c r="BQ24" s="32">
        <f>BQ21-BQ23</f>
        <v>319.97199999999941</v>
      </c>
      <c r="BR24" s="32">
        <f>BR21-BR23</f>
        <v>262.40099999999973</v>
      </c>
      <c r="BS24" s="72"/>
      <c r="BT24" s="73"/>
      <c r="BU24" s="32">
        <f>BU21-BU23</f>
        <v>2640.17</v>
      </c>
      <c r="BV24" s="32">
        <f>BV21-BV23</f>
        <v>961.08899999999983</v>
      </c>
      <c r="BW24" s="72"/>
      <c r="BX24" s="73"/>
      <c r="BY24" s="32">
        <f>BY21-BY23</f>
        <v>1311.5969999999993</v>
      </c>
      <c r="BZ24" s="32">
        <f>BZ21-BZ23</f>
        <v>498.02299999999991</v>
      </c>
      <c r="CA24" s="72"/>
      <c r="CB24" s="73"/>
      <c r="CC24" s="32">
        <f>CC21-CC23</f>
        <v>282.8159999999998</v>
      </c>
      <c r="CD24" s="32">
        <f>CD21-CD23</f>
        <v>-559.55499999999995</v>
      </c>
    </row>
    <row r="25" spans="1:82" s="6" customFormat="1" ht="15.75" customHeight="1" x14ac:dyDescent="0.2">
      <c r="B25" s="65"/>
      <c r="C25" s="7"/>
      <c r="D25" s="8"/>
      <c r="E25" s="51"/>
      <c r="F25" s="51"/>
      <c r="G25" s="7"/>
      <c r="H25" s="8"/>
      <c r="I25" s="51"/>
      <c r="J25" s="51"/>
      <c r="K25" s="7"/>
      <c r="L25" s="8"/>
      <c r="M25" s="51"/>
      <c r="N25" s="51"/>
      <c r="O25" s="7"/>
      <c r="P25" s="8"/>
      <c r="Q25" s="51"/>
      <c r="R25" s="51"/>
      <c r="S25" s="7"/>
      <c r="T25" s="8"/>
      <c r="U25" s="51"/>
      <c r="V25" s="51"/>
      <c r="W25" s="7"/>
      <c r="X25" s="8"/>
      <c r="Y25" s="51"/>
      <c r="Z25" s="51"/>
      <c r="AA25" s="7"/>
      <c r="AB25" s="8"/>
      <c r="AC25" s="51"/>
      <c r="AD25" s="51"/>
      <c r="AE25" s="7"/>
      <c r="AF25" s="8"/>
      <c r="AG25" s="51"/>
      <c r="AH25" s="51"/>
      <c r="AI25" s="7"/>
      <c r="AJ25" s="8"/>
      <c r="AK25" s="51"/>
      <c r="AL25" s="51"/>
      <c r="AM25" s="7"/>
      <c r="AN25" s="8"/>
      <c r="AO25" s="51"/>
      <c r="AP25" s="51"/>
      <c r="AQ25" s="7"/>
      <c r="AR25" s="8"/>
      <c r="AS25" s="51"/>
      <c r="AT25" s="51"/>
      <c r="AU25" s="7"/>
      <c r="AV25" s="8"/>
      <c r="AW25" s="51"/>
      <c r="AX25" s="51"/>
      <c r="AY25" s="7"/>
      <c r="AZ25" s="8"/>
      <c r="BA25" s="51"/>
      <c r="BB25" s="51"/>
      <c r="BC25" s="7"/>
      <c r="BD25" s="8"/>
      <c r="BE25" s="51"/>
      <c r="BF25" s="51"/>
      <c r="BG25" s="7"/>
      <c r="BH25" s="8"/>
      <c r="BI25" s="51"/>
      <c r="BJ25" s="51"/>
      <c r="BK25" s="7"/>
      <c r="BL25" s="8"/>
      <c r="BM25" s="51"/>
      <c r="BN25" s="51"/>
      <c r="BO25" s="7"/>
      <c r="BP25" s="8"/>
      <c r="BQ25" s="51"/>
      <c r="BR25" s="51"/>
      <c r="BS25" s="7"/>
      <c r="BT25" s="8"/>
      <c r="BU25" s="51"/>
      <c r="BV25" s="51"/>
      <c r="BW25" s="7"/>
      <c r="BX25" s="8"/>
      <c r="BY25" s="51"/>
      <c r="BZ25" s="51"/>
      <c r="CA25" s="7"/>
      <c r="CB25" s="8"/>
      <c r="CC25" s="51"/>
      <c r="CD25" s="51"/>
    </row>
    <row r="26" spans="1:82" s="74" customFormat="1" x14ac:dyDescent="0.2">
      <c r="A26" s="75" t="s">
        <v>133</v>
      </c>
      <c r="B26" s="76"/>
      <c r="C26" s="72"/>
      <c r="D26" s="73"/>
      <c r="E26" s="35"/>
      <c r="F26" s="35"/>
      <c r="G26" s="72"/>
      <c r="H26" s="73"/>
      <c r="I26" s="35"/>
      <c r="J26" s="35"/>
      <c r="K26" s="72"/>
      <c r="L26" s="73"/>
      <c r="M26" s="35"/>
      <c r="N26" s="35"/>
      <c r="O26" s="72"/>
      <c r="P26" s="73"/>
      <c r="Q26" s="35"/>
      <c r="R26" s="35"/>
      <c r="S26" s="72"/>
      <c r="T26" s="73"/>
      <c r="U26" s="35"/>
      <c r="V26" s="35"/>
      <c r="W26" s="72"/>
      <c r="X26" s="73"/>
      <c r="Y26" s="35"/>
      <c r="Z26" s="35"/>
      <c r="AA26" s="72"/>
      <c r="AB26" s="73"/>
      <c r="AC26" s="35"/>
      <c r="AD26" s="35"/>
      <c r="AE26" s="72"/>
      <c r="AF26" s="73"/>
      <c r="AG26" s="35"/>
      <c r="AH26" s="35"/>
      <c r="AI26" s="72"/>
      <c r="AJ26" s="73"/>
      <c r="AK26" s="35"/>
      <c r="AL26" s="35"/>
      <c r="AM26" s="72"/>
      <c r="AN26" s="73"/>
      <c r="AO26" s="35"/>
      <c r="AP26" s="35"/>
      <c r="AQ26" s="72"/>
      <c r="AR26" s="73"/>
      <c r="AS26" s="35"/>
      <c r="AT26" s="35"/>
      <c r="AU26" s="72"/>
      <c r="AV26" s="73"/>
      <c r="AW26" s="35"/>
      <c r="AX26" s="35"/>
      <c r="AY26" s="72"/>
      <c r="AZ26" s="73"/>
      <c r="BA26" s="35"/>
      <c r="BB26" s="35"/>
      <c r="BC26" s="72"/>
      <c r="BD26" s="73"/>
      <c r="BE26" s="35"/>
      <c r="BF26" s="35"/>
      <c r="BG26" s="72"/>
      <c r="BH26" s="73"/>
      <c r="BI26" s="35"/>
      <c r="BJ26" s="35"/>
      <c r="BK26" s="72"/>
      <c r="BL26" s="73"/>
      <c r="BM26" s="35"/>
      <c r="BN26" s="35"/>
      <c r="BO26" s="72"/>
      <c r="BP26" s="73"/>
      <c r="BQ26" s="35"/>
      <c r="BR26" s="35"/>
      <c r="BS26" s="72"/>
      <c r="BT26" s="73"/>
      <c r="BU26" s="35"/>
      <c r="BV26" s="35"/>
      <c r="BW26" s="72"/>
      <c r="BX26" s="73"/>
      <c r="BY26" s="35"/>
      <c r="BZ26" s="35"/>
      <c r="CA26" s="72"/>
      <c r="CB26" s="73"/>
      <c r="CC26" s="35"/>
      <c r="CD26" s="35"/>
    </row>
    <row r="27" spans="1:82" x14ac:dyDescent="0.2">
      <c r="A27" s="13" t="s">
        <v>134</v>
      </c>
      <c r="B27" s="5"/>
      <c r="E27" s="32"/>
      <c r="F27" s="32"/>
      <c r="I27" s="32"/>
      <c r="J27" s="32"/>
      <c r="M27" s="32"/>
      <c r="N27" s="32"/>
      <c r="Q27" s="32"/>
      <c r="R27" s="32"/>
      <c r="U27" s="32"/>
      <c r="V27" s="32"/>
      <c r="Y27" s="32"/>
      <c r="Z27" s="32"/>
      <c r="AC27" s="32"/>
      <c r="AD27" s="32"/>
      <c r="AG27" s="32"/>
      <c r="AH27" s="32"/>
      <c r="AK27" s="32"/>
      <c r="AL27" s="32"/>
      <c r="AO27" s="32"/>
      <c r="AP27" s="32"/>
      <c r="AS27" s="32"/>
      <c r="AT27" s="32"/>
      <c r="AW27" s="32"/>
      <c r="AX27" s="32"/>
      <c r="BA27" s="32"/>
      <c r="BB27" s="32"/>
      <c r="BE27" s="32"/>
      <c r="BF27" s="32"/>
      <c r="BI27" s="32"/>
      <c r="BJ27" s="32"/>
      <c r="BM27" s="32"/>
      <c r="BN27" s="32"/>
      <c r="BQ27" s="32"/>
      <c r="BR27" s="32"/>
      <c r="BU27" s="32"/>
      <c r="BV27" s="32"/>
      <c r="BY27" s="32"/>
      <c r="BZ27" s="32"/>
      <c r="CC27" s="32"/>
      <c r="CD27" s="32"/>
    </row>
    <row r="28" spans="1:82" s="74" customFormat="1" x14ac:dyDescent="0.2">
      <c r="B28" s="76" t="s">
        <v>135</v>
      </c>
      <c r="C28" s="72"/>
      <c r="D28" s="73"/>
      <c r="E28" s="35">
        <f>1460+49663-1216+488</f>
        <v>50395</v>
      </c>
      <c r="F28" s="35">
        <f>383+39820-739+432</f>
        <v>39896</v>
      </c>
      <c r="G28" s="72"/>
      <c r="H28" s="73"/>
      <c r="I28" s="35">
        <f>21419.357+1280.739+638.544</f>
        <v>23338.640000000003</v>
      </c>
      <c r="J28" s="35">
        <f>1609.299+18633.47+1288.795</f>
        <v>21531.563999999998</v>
      </c>
      <c r="K28" s="72"/>
      <c r="L28" s="73"/>
      <c r="M28" s="35">
        <v>8100</v>
      </c>
      <c r="N28" s="35">
        <v>11564</v>
      </c>
      <c r="O28" s="72"/>
      <c r="P28" s="73"/>
      <c r="Q28" s="35">
        <f>91635.209+848.535+16527.196</f>
        <v>109010.94</v>
      </c>
      <c r="R28" s="35">
        <f>82735.8+4448.148+8316.181</f>
        <v>95500.129000000001</v>
      </c>
      <c r="S28" s="72"/>
      <c r="T28" s="73"/>
      <c r="U28" s="35">
        <f>13595.411+75900.005+195.577+9666.098</f>
        <v>99357.091</v>
      </c>
      <c r="V28" s="35">
        <f>8148.243+12981.443+45.598+2766.988</f>
        <v>23942.272000000004</v>
      </c>
      <c r="W28" s="72"/>
      <c r="X28" s="73"/>
      <c r="Y28" s="35">
        <f>163321.033+325.187+2389.432</f>
        <v>166035.652</v>
      </c>
      <c r="Z28" s="35">
        <f>132966.048+561.189</f>
        <v>133527.23700000002</v>
      </c>
      <c r="AA28" s="72"/>
      <c r="AB28" s="73"/>
      <c r="AC28" s="35">
        <v>767003</v>
      </c>
      <c r="AD28" s="35">
        <v>648835</v>
      </c>
      <c r="AE28" s="72"/>
      <c r="AF28" s="73"/>
      <c r="AG28" s="35">
        <v>90396</v>
      </c>
      <c r="AH28" s="35">
        <v>81919</v>
      </c>
      <c r="AI28" s="72"/>
      <c r="AJ28" s="73"/>
      <c r="AK28" s="35">
        <f>1627.242+1417.204+205688.777</f>
        <v>208733.223</v>
      </c>
      <c r="AL28" s="35">
        <f>1315.381+199454.464</f>
        <v>200769.845</v>
      </c>
      <c r="AM28" s="72"/>
      <c r="AN28" s="73"/>
      <c r="AO28" s="35">
        <v>123258.69</v>
      </c>
      <c r="AP28" s="35">
        <v>98974.16</v>
      </c>
      <c r="AQ28" s="72"/>
      <c r="AR28" s="73"/>
      <c r="AS28" s="35">
        <f>18509.872+12065.585+17994.485</f>
        <v>48569.941999999995</v>
      </c>
      <c r="AT28" s="35">
        <f>10161.585+4184.5+5342.552</f>
        <v>19688.636999999999</v>
      </c>
      <c r="AU28" s="72"/>
      <c r="AV28" s="73"/>
      <c r="AW28" s="35">
        <f>485583+29538</f>
        <v>515121</v>
      </c>
      <c r="AX28" s="35">
        <f>436947+33341</f>
        <v>470288</v>
      </c>
      <c r="AY28" s="72"/>
      <c r="AZ28" s="73"/>
      <c r="BA28" s="35">
        <f>1444.17+3192.617</f>
        <v>4636.7870000000003</v>
      </c>
      <c r="BB28" s="35">
        <f>689.035+1083.192</f>
        <v>1772.2269999999999</v>
      </c>
      <c r="BC28" s="72"/>
      <c r="BD28" s="73"/>
      <c r="BE28" s="35">
        <f>27374.823+11649.16+40479.466</f>
        <v>79503.448999999993</v>
      </c>
      <c r="BF28" s="35">
        <f>8058.013+170.936+28595.602</f>
        <v>36824.550999999999</v>
      </c>
      <c r="BG28" s="72"/>
      <c r="BH28" s="73"/>
      <c r="BI28" s="35">
        <f>6886.054+2565.689+6615.375</f>
        <v>16067.118</v>
      </c>
      <c r="BJ28" s="35">
        <f>4890.838+2400.733+3666.467</f>
        <v>10958.038</v>
      </c>
      <c r="BK28" s="72"/>
      <c r="BL28" s="73"/>
      <c r="BM28" s="35">
        <f>18404+5097+82+130900</f>
        <v>154483</v>
      </c>
      <c r="BN28" s="35">
        <f>15578+110+103260</f>
        <v>118948</v>
      </c>
      <c r="BO28" s="72"/>
      <c r="BP28" s="73"/>
      <c r="BQ28" s="35">
        <v>123258.69</v>
      </c>
      <c r="BR28" s="35">
        <v>98974.16</v>
      </c>
      <c r="BS28" s="72"/>
      <c r="BT28" s="73"/>
      <c r="BU28" s="35">
        <f>35602.056-374.747+1872.49</f>
        <v>37099.798999999992</v>
      </c>
      <c r="BV28" s="35">
        <f>21273.139-216.193+344.517</f>
        <v>21401.463</v>
      </c>
      <c r="BW28" s="72"/>
      <c r="BX28" s="73"/>
      <c r="BY28" s="35">
        <v>46047.294000000002</v>
      </c>
      <c r="BZ28" s="35">
        <v>17961.060000000001</v>
      </c>
      <c r="CA28" s="72"/>
      <c r="CB28" s="73"/>
      <c r="CC28" s="35">
        <f>3974.567</f>
        <v>3974.567</v>
      </c>
      <c r="CD28" s="35">
        <v>1300.271</v>
      </c>
    </row>
    <row r="29" spans="1:82" s="58" customFormat="1" x14ac:dyDescent="0.2">
      <c r="B29" s="78" t="s">
        <v>136</v>
      </c>
      <c r="C29" s="63"/>
      <c r="D29" s="64"/>
      <c r="E29" s="61">
        <f>E30-E28</f>
        <v>3948</v>
      </c>
      <c r="F29" s="61">
        <f>F30-F28</f>
        <v>3399</v>
      </c>
      <c r="G29" s="63"/>
      <c r="H29" s="64"/>
      <c r="I29" s="61">
        <f>I30-I28</f>
        <v>2479.6909999999953</v>
      </c>
      <c r="J29" s="61">
        <f>J30-J28</f>
        <v>3558.6540000000023</v>
      </c>
      <c r="K29" s="63"/>
      <c r="L29" s="64"/>
      <c r="M29" s="61">
        <f>M30-M28</f>
        <v>7323</v>
      </c>
      <c r="N29" s="61">
        <f>N30-N28</f>
        <v>722</v>
      </c>
      <c r="O29" s="63"/>
      <c r="P29" s="64"/>
      <c r="Q29" s="61">
        <f>Q30-Q28</f>
        <v>6283.7569999999978</v>
      </c>
      <c r="R29" s="61">
        <f>R30-R28</f>
        <v>6612.3690000000061</v>
      </c>
      <c r="S29" s="63"/>
      <c r="T29" s="64"/>
      <c r="U29" s="61">
        <f>U30-U28</f>
        <v>301.48600000000442</v>
      </c>
      <c r="V29" s="61">
        <f>V30-V28</f>
        <v>7.0969999999942956</v>
      </c>
      <c r="W29" s="63"/>
      <c r="X29" s="64"/>
      <c r="Y29" s="61">
        <f>Y30-Y28</f>
        <v>6582.3159999999916</v>
      </c>
      <c r="Z29" s="61">
        <f>Z30-Z28</f>
        <v>188.05799999998999</v>
      </c>
      <c r="AA29" s="63"/>
      <c r="AB29" s="64"/>
      <c r="AC29" s="61">
        <f>AC30-AC28</f>
        <v>39197</v>
      </c>
      <c r="AD29" s="61">
        <f>AD30-AD28</f>
        <v>42960</v>
      </c>
      <c r="AE29" s="63"/>
      <c r="AF29" s="64"/>
      <c r="AG29" s="61">
        <f>AG30-AG28</f>
        <v>9464</v>
      </c>
      <c r="AH29" s="61">
        <f>AH30-AH28</f>
        <v>11586</v>
      </c>
      <c r="AI29" s="63"/>
      <c r="AJ29" s="64"/>
      <c r="AK29" s="61">
        <f>AK30-AK28</f>
        <v>10918.402999999991</v>
      </c>
      <c r="AL29" s="61">
        <f>AL30-AL28</f>
        <v>15868.42300000001</v>
      </c>
      <c r="AM29" s="63"/>
      <c r="AN29" s="64"/>
      <c r="AO29" s="61">
        <f>AO30-AO28</f>
        <v>24925.951000000001</v>
      </c>
      <c r="AP29" s="61">
        <f>AP30-AP28</f>
        <v>25011.760999999999</v>
      </c>
      <c r="AQ29" s="63"/>
      <c r="AR29" s="64"/>
      <c r="AS29" s="61">
        <f>AS30-AS28</f>
        <v>176.54200000000128</v>
      </c>
      <c r="AT29" s="61">
        <f>AT30-AT28</f>
        <v>1.0000000002037268E-3</v>
      </c>
      <c r="AU29" s="63"/>
      <c r="AV29" s="64"/>
      <c r="AW29" s="61">
        <f>AW30-AW28</f>
        <v>11085</v>
      </c>
      <c r="AX29" s="61">
        <f>AX30-AX28</f>
        <v>23384</v>
      </c>
      <c r="AY29" s="63"/>
      <c r="AZ29" s="64"/>
      <c r="BA29" s="61">
        <f>BA30-BA28</f>
        <v>1031.1319999999996</v>
      </c>
      <c r="BB29" s="61">
        <f>BB30-BB28</f>
        <v>561.85500000000002</v>
      </c>
      <c r="BC29" s="63"/>
      <c r="BD29" s="64"/>
      <c r="BE29" s="61">
        <f>BE30-BE28</f>
        <v>4175.7640000000101</v>
      </c>
      <c r="BF29" s="61">
        <f>BF30-BF28</f>
        <v>7169.273000000001</v>
      </c>
      <c r="BG29" s="63"/>
      <c r="BH29" s="64"/>
      <c r="BI29" s="61">
        <f>BI30-BI28</f>
        <v>1076.9420000000009</v>
      </c>
      <c r="BJ29" s="61">
        <f>BJ30-BJ28</f>
        <v>1010.8080000000009</v>
      </c>
      <c r="BK29" s="63"/>
      <c r="BL29" s="64"/>
      <c r="BM29" s="61">
        <f>BM30-BM28</f>
        <v>2781</v>
      </c>
      <c r="BN29" s="61">
        <f>BN30-BN28</f>
        <v>1161</v>
      </c>
      <c r="BO29" s="63"/>
      <c r="BP29" s="64"/>
      <c r="BQ29" s="61">
        <f>BQ30-BQ28</f>
        <v>24925.951000000001</v>
      </c>
      <c r="BR29" s="61">
        <f>BR30-BR28</f>
        <v>25011.760999999999</v>
      </c>
      <c r="BS29" s="63"/>
      <c r="BT29" s="64"/>
      <c r="BU29" s="61">
        <f>BU30-BU28</f>
        <v>3598.208000000006</v>
      </c>
      <c r="BV29" s="61">
        <f>BV30-BV28</f>
        <v>1948.4419999999991</v>
      </c>
      <c r="BW29" s="63"/>
      <c r="BX29" s="64"/>
      <c r="BY29" s="61">
        <f>BY30-BY28</f>
        <v>28.567999999999302</v>
      </c>
      <c r="BZ29" s="61">
        <f>BZ30-BZ28</f>
        <v>10.975999999998749</v>
      </c>
      <c r="CA29" s="63"/>
      <c r="CB29" s="64"/>
      <c r="CC29" s="61">
        <f>CC30-CC28</f>
        <v>4091.3630000000003</v>
      </c>
      <c r="CD29" s="61">
        <f>CD30-CD28</f>
        <v>2462.9220000000005</v>
      </c>
    </row>
    <row r="30" spans="1:82" s="74" customFormat="1" x14ac:dyDescent="0.2">
      <c r="A30" s="74" t="s">
        <v>137</v>
      </c>
      <c r="B30" s="33"/>
      <c r="C30" s="72"/>
      <c r="D30" s="73"/>
      <c r="E30" s="35">
        <v>54343</v>
      </c>
      <c r="F30" s="35">
        <v>43295</v>
      </c>
      <c r="G30" s="72"/>
      <c r="H30" s="73"/>
      <c r="I30" s="35">
        <f>25818.331</f>
        <v>25818.330999999998</v>
      </c>
      <c r="J30" s="35">
        <f>25090.218</f>
        <v>25090.218000000001</v>
      </c>
      <c r="K30" s="72"/>
      <c r="L30" s="73"/>
      <c r="M30" s="35">
        <v>15423</v>
      </c>
      <c r="N30" s="35">
        <v>12286</v>
      </c>
      <c r="O30" s="72"/>
      <c r="P30" s="73"/>
      <c r="Q30" s="35">
        <f>115294.697</f>
        <v>115294.697</v>
      </c>
      <c r="R30" s="35">
        <f>102112.498</f>
        <v>102112.49800000001</v>
      </c>
      <c r="S30" s="72"/>
      <c r="T30" s="73"/>
      <c r="U30" s="35">
        <v>99658.577000000005</v>
      </c>
      <c r="V30" s="35">
        <f>23949.369</f>
        <v>23949.368999999999</v>
      </c>
      <c r="W30" s="72"/>
      <c r="X30" s="73"/>
      <c r="Y30" s="35">
        <f>172617.968</f>
        <v>172617.96799999999</v>
      </c>
      <c r="Z30" s="35">
        <f>133715.295</f>
        <v>133715.29500000001</v>
      </c>
      <c r="AA30" s="72"/>
      <c r="AB30" s="73"/>
      <c r="AC30" s="35">
        <f>806200</f>
        <v>806200</v>
      </c>
      <c r="AD30" s="35">
        <f>691795</f>
        <v>691795</v>
      </c>
      <c r="AE30" s="72"/>
      <c r="AF30" s="73"/>
      <c r="AG30" s="35">
        <v>99860</v>
      </c>
      <c r="AH30" s="35">
        <v>93505</v>
      </c>
      <c r="AI30" s="72"/>
      <c r="AJ30" s="73"/>
      <c r="AK30" s="35">
        <f>219651.626</f>
        <v>219651.62599999999</v>
      </c>
      <c r="AL30" s="35">
        <f>216638.268</f>
        <v>216638.26800000001</v>
      </c>
      <c r="AM30" s="72"/>
      <c r="AN30" s="73"/>
      <c r="AO30" s="35">
        <f>148184.641</f>
        <v>148184.641</v>
      </c>
      <c r="AP30" s="35">
        <f>123985.921</f>
        <v>123985.921</v>
      </c>
      <c r="AQ30" s="72"/>
      <c r="AR30" s="73"/>
      <c r="AS30" s="35">
        <f>48746.484</f>
        <v>48746.483999999997</v>
      </c>
      <c r="AT30" s="35">
        <f>19688.638</f>
        <v>19688.637999999999</v>
      </c>
      <c r="AU30" s="72"/>
      <c r="AV30" s="73"/>
      <c r="AW30" s="35">
        <f>526206</f>
        <v>526206</v>
      </c>
      <c r="AX30" s="35">
        <v>493672</v>
      </c>
      <c r="AY30" s="72"/>
      <c r="AZ30" s="73"/>
      <c r="BA30" s="35">
        <f>5667.919</f>
        <v>5667.9189999999999</v>
      </c>
      <c r="BB30" s="35">
        <v>2334.0819999999999</v>
      </c>
      <c r="BC30" s="72"/>
      <c r="BD30" s="73"/>
      <c r="BE30" s="35">
        <f>83679.213</f>
        <v>83679.213000000003</v>
      </c>
      <c r="BF30" s="35">
        <v>43993.824000000001</v>
      </c>
      <c r="BG30" s="72"/>
      <c r="BH30" s="73"/>
      <c r="BI30" s="35">
        <f>9971.082+7172.978</f>
        <v>17144.060000000001</v>
      </c>
      <c r="BJ30" s="35">
        <f>8175.814+3793.032</f>
        <v>11968.846000000001</v>
      </c>
      <c r="BK30" s="72"/>
      <c r="BL30" s="73"/>
      <c r="BM30" s="35">
        <f>157264</f>
        <v>157264</v>
      </c>
      <c r="BN30" s="35">
        <f>120109</f>
        <v>120109</v>
      </c>
      <c r="BO30" s="72"/>
      <c r="BP30" s="73"/>
      <c r="BQ30" s="35">
        <v>148184.641</v>
      </c>
      <c r="BR30" s="35">
        <f>123985.921</f>
        <v>123985.921</v>
      </c>
      <c r="BS30" s="72"/>
      <c r="BT30" s="73"/>
      <c r="BU30" s="35">
        <f>40698.007</f>
        <v>40698.006999999998</v>
      </c>
      <c r="BV30" s="35">
        <f>23349.905</f>
        <v>23349.904999999999</v>
      </c>
      <c r="BW30" s="72"/>
      <c r="BX30" s="73"/>
      <c r="BY30" s="35">
        <f>46075.862</f>
        <v>46075.862000000001</v>
      </c>
      <c r="BZ30" s="35">
        <v>17972.036</v>
      </c>
      <c r="CA30" s="72"/>
      <c r="CB30" s="73"/>
      <c r="CC30" s="35">
        <f>8065.93</f>
        <v>8065.93</v>
      </c>
      <c r="CD30" s="35">
        <v>3763.1930000000002</v>
      </c>
    </row>
    <row r="31" spans="1:82" s="74" customFormat="1" x14ac:dyDescent="0.2">
      <c r="B31" s="33"/>
      <c r="C31" s="72"/>
      <c r="D31" s="73"/>
      <c r="E31" s="35"/>
      <c r="F31" s="35"/>
      <c r="G31" s="72"/>
      <c r="H31" s="73"/>
      <c r="I31" s="35"/>
      <c r="J31" s="35"/>
      <c r="K31" s="72"/>
      <c r="L31" s="73"/>
      <c r="M31" s="35"/>
      <c r="N31" s="35"/>
      <c r="O31" s="72"/>
      <c r="P31" s="73"/>
      <c r="Q31" s="35"/>
      <c r="R31" s="35"/>
      <c r="S31" s="72"/>
      <c r="T31" s="73"/>
      <c r="U31" s="35"/>
      <c r="V31" s="35"/>
      <c r="W31" s="72"/>
      <c r="X31" s="73"/>
      <c r="Y31" s="35"/>
      <c r="Z31" s="35"/>
      <c r="AA31" s="72"/>
      <c r="AB31" s="73"/>
      <c r="AC31" s="35"/>
      <c r="AD31" s="35"/>
      <c r="AE31" s="72"/>
      <c r="AF31" s="73"/>
      <c r="AG31" s="35"/>
      <c r="AH31" s="35"/>
      <c r="AI31" s="72"/>
      <c r="AJ31" s="73"/>
      <c r="AK31" s="35"/>
      <c r="AL31" s="35"/>
      <c r="AM31" s="72"/>
      <c r="AN31" s="73"/>
      <c r="AO31" s="35"/>
      <c r="AP31" s="35"/>
      <c r="AQ31" s="72"/>
      <c r="AR31" s="73"/>
      <c r="AS31" s="35"/>
      <c r="AT31" s="35"/>
      <c r="AU31" s="72"/>
      <c r="AV31" s="73"/>
      <c r="AW31" s="35"/>
      <c r="AX31" s="35"/>
      <c r="AY31" s="72"/>
      <c r="AZ31" s="73"/>
      <c r="BA31" s="35"/>
      <c r="BB31" s="35"/>
      <c r="BC31" s="72"/>
      <c r="BD31" s="73"/>
      <c r="BE31" s="35"/>
      <c r="BF31" s="35"/>
      <c r="BG31" s="72"/>
      <c r="BH31" s="73"/>
      <c r="BI31" s="35"/>
      <c r="BJ31" s="35"/>
      <c r="BK31" s="72"/>
      <c r="BL31" s="73"/>
      <c r="BM31" s="35"/>
      <c r="BN31" s="35"/>
      <c r="BO31" s="72"/>
      <c r="BP31" s="73"/>
      <c r="BQ31" s="35"/>
      <c r="BR31" s="35"/>
      <c r="BS31" s="72"/>
      <c r="BT31" s="73"/>
      <c r="BU31" s="35"/>
      <c r="BV31" s="35"/>
      <c r="BW31" s="72"/>
      <c r="BX31" s="73"/>
      <c r="BY31" s="35"/>
      <c r="BZ31" s="35"/>
      <c r="CA31" s="72"/>
      <c r="CB31" s="73"/>
      <c r="CC31" s="35"/>
      <c r="CD31" s="35"/>
    </row>
    <row r="32" spans="1:82" s="6" customFormat="1" ht="12.75" customHeight="1" x14ac:dyDescent="0.2">
      <c r="A32" s="6" t="s">
        <v>138</v>
      </c>
      <c r="B32" s="65"/>
      <c r="C32" s="7"/>
      <c r="D32" s="8"/>
      <c r="E32" s="56"/>
      <c r="G32" s="7"/>
      <c r="H32" s="8"/>
      <c r="I32" s="56"/>
      <c r="K32" s="7"/>
      <c r="L32" s="8"/>
      <c r="M32" s="56"/>
      <c r="O32" s="7"/>
      <c r="P32" s="8"/>
      <c r="Q32" s="56"/>
      <c r="S32" s="7"/>
      <c r="T32" s="8"/>
      <c r="U32" s="56"/>
      <c r="W32" s="7"/>
      <c r="X32" s="8"/>
      <c r="Y32" s="56"/>
      <c r="AA32" s="7"/>
      <c r="AB32" s="8"/>
      <c r="AC32" s="56"/>
      <c r="AE32" s="7"/>
      <c r="AF32" s="8"/>
      <c r="AG32" s="56"/>
      <c r="AI32" s="7"/>
      <c r="AJ32" s="8"/>
      <c r="AK32" s="56"/>
      <c r="AM32" s="7"/>
      <c r="AN32" s="8"/>
      <c r="AO32" s="56"/>
      <c r="AQ32" s="7"/>
      <c r="AR32" s="8"/>
      <c r="AS32" s="56"/>
      <c r="AU32" s="7"/>
      <c r="AV32" s="8"/>
      <c r="AW32" s="56"/>
      <c r="AY32" s="7"/>
      <c r="AZ32" s="8"/>
      <c r="BA32" s="56"/>
      <c r="BC32" s="7"/>
      <c r="BD32" s="8"/>
      <c r="BE32" s="56"/>
      <c r="BG32" s="7"/>
      <c r="BH32" s="8"/>
      <c r="BI32" s="56"/>
      <c r="BK32" s="7"/>
      <c r="BL32" s="8"/>
      <c r="BM32" s="56"/>
      <c r="BO32" s="7"/>
      <c r="BP32" s="8"/>
      <c r="BR32" s="56"/>
      <c r="BS32" s="7"/>
      <c r="BT32" s="8"/>
      <c r="BU32" s="56"/>
      <c r="BW32" s="7"/>
      <c r="BX32" s="8"/>
      <c r="BY32" s="56"/>
      <c r="CA32" s="7"/>
      <c r="CB32" s="8"/>
      <c r="CC32" s="56"/>
    </row>
    <row r="33" spans="1:82" s="6" customFormat="1" ht="12.75" customHeight="1" x14ac:dyDescent="0.2">
      <c r="A33" s="75"/>
      <c r="B33" s="33" t="s">
        <v>139</v>
      </c>
      <c r="C33" s="7"/>
      <c r="D33" s="8"/>
      <c r="E33" s="56">
        <f>15128+12247</f>
        <v>27375</v>
      </c>
      <c r="F33" s="56">
        <f>589</f>
        <v>589</v>
      </c>
      <c r="G33" s="7"/>
      <c r="H33" s="8"/>
      <c r="I33" s="56">
        <v>24462.036</v>
      </c>
      <c r="J33" s="56">
        <v>24486.937000000002</v>
      </c>
      <c r="K33" s="7"/>
      <c r="L33" s="8"/>
      <c r="M33" s="56">
        <v>0</v>
      </c>
      <c r="N33" s="56">
        <v>0</v>
      </c>
      <c r="O33" s="7"/>
      <c r="P33" s="8"/>
      <c r="Q33" s="56">
        <v>100302.942</v>
      </c>
      <c r="R33" s="56">
        <v>88310.623000000007</v>
      </c>
      <c r="S33" s="7"/>
      <c r="T33" s="8"/>
      <c r="U33" s="56">
        <f>8086.41+3320.641</f>
        <v>11407.050999999999</v>
      </c>
      <c r="V33" s="56">
        <f>1171.272+863.039</f>
        <v>2034.3109999999999</v>
      </c>
      <c r="W33" s="7"/>
      <c r="X33" s="8"/>
      <c r="Y33" s="56"/>
      <c r="Z33" s="56"/>
      <c r="AA33" s="7"/>
      <c r="AB33" s="8"/>
      <c r="AC33" s="56">
        <f>195569+90557</f>
        <v>286126</v>
      </c>
      <c r="AD33" s="56">
        <f>272249+88504</f>
        <v>360753</v>
      </c>
      <c r="AE33" s="7"/>
      <c r="AF33" s="8"/>
      <c r="AG33" s="56">
        <f>2738+56485</f>
        <v>59223</v>
      </c>
      <c r="AH33" s="56">
        <f>1700+33099</f>
        <v>34799</v>
      </c>
      <c r="AI33" s="7"/>
      <c r="AJ33" s="8"/>
      <c r="AK33" s="56">
        <f>24918.811+2.719172+3700+20000</f>
        <v>48621.530171999999</v>
      </c>
      <c r="AL33" s="56">
        <f>8081.275+3196.132+11750</f>
        <v>23027.406999999999</v>
      </c>
      <c r="AM33" s="7"/>
      <c r="AN33" s="8"/>
      <c r="AO33" s="56">
        <v>136434.389</v>
      </c>
      <c r="AP33" s="56">
        <v>114935.524</v>
      </c>
      <c r="AQ33" s="7"/>
      <c r="AR33" s="8"/>
      <c r="AS33" s="56">
        <f>17325.828+1000</f>
        <v>18325.828000000001</v>
      </c>
      <c r="AT33" s="56">
        <f>9194</f>
        <v>9194</v>
      </c>
      <c r="AU33" s="7"/>
      <c r="AV33" s="8"/>
      <c r="AW33" s="56">
        <v>30400</v>
      </c>
      <c r="AX33" s="56">
        <v>38100</v>
      </c>
      <c r="AY33" s="7"/>
      <c r="AZ33" s="8"/>
      <c r="BA33" s="56">
        <f>3126.443</f>
        <v>3126.4430000000002</v>
      </c>
      <c r="BB33" s="56">
        <v>720.70100000000002</v>
      </c>
      <c r="BC33" s="7"/>
      <c r="BD33" s="8"/>
      <c r="BE33" s="56">
        <v>40315.629000000001</v>
      </c>
      <c r="BF33" s="56">
        <f>9114.224+1363.138</f>
        <v>10477.362000000001</v>
      </c>
      <c r="BG33" s="7"/>
      <c r="BH33" s="8"/>
      <c r="BI33" s="56">
        <v>3485.9140000000002</v>
      </c>
      <c r="BJ33" s="56">
        <v>1494.02</v>
      </c>
      <c r="BK33" s="7"/>
      <c r="BL33" s="8"/>
      <c r="BM33" s="56">
        <v>3360</v>
      </c>
      <c r="BN33" s="56">
        <v>2801</v>
      </c>
      <c r="BO33" s="7"/>
      <c r="BP33" s="8"/>
      <c r="BQ33" s="56">
        <f>95211.333+36966.998</f>
        <v>132178.33100000001</v>
      </c>
      <c r="BR33" s="56">
        <f>77289.528+34262.334</f>
        <v>111551.86200000001</v>
      </c>
      <c r="BS33" s="7"/>
      <c r="BT33" s="8"/>
      <c r="BU33" s="56">
        <f>16830.625</f>
        <v>16830.625</v>
      </c>
      <c r="BV33" s="56">
        <v>9123.0949999999993</v>
      </c>
      <c r="BW33" s="7"/>
      <c r="BX33" s="8"/>
      <c r="BY33" s="56">
        <v>16628.334999999999</v>
      </c>
      <c r="BZ33" s="56">
        <v>5752.777</v>
      </c>
      <c r="CA33" s="7"/>
      <c r="CB33" s="8"/>
      <c r="CC33" s="56">
        <f>1541.579+553.777+1363.587</f>
        <v>3458.9429999999998</v>
      </c>
      <c r="CD33" s="56">
        <f>196.248+631.361</f>
        <v>827.60899999999992</v>
      </c>
    </row>
    <row r="34" spans="1:82" s="54" customFormat="1" ht="12.75" customHeight="1" x14ac:dyDescent="0.2">
      <c r="A34" s="79"/>
      <c r="B34" s="33" t="s">
        <v>140</v>
      </c>
      <c r="C34" s="52"/>
      <c r="D34" s="53"/>
      <c r="E34" s="56">
        <f>42899-E33</f>
        <v>15524</v>
      </c>
      <c r="F34" s="56">
        <f>33781-F33</f>
        <v>33192</v>
      </c>
      <c r="G34" s="52"/>
      <c r="H34" s="53"/>
      <c r="I34" s="56">
        <v>0</v>
      </c>
      <c r="J34" s="56">
        <v>0</v>
      </c>
      <c r="K34" s="52"/>
      <c r="L34" s="53"/>
      <c r="M34" s="56">
        <v>14141</v>
      </c>
      <c r="N34" s="56">
        <v>12009</v>
      </c>
      <c r="O34" s="52"/>
      <c r="P34" s="53"/>
      <c r="Q34" s="56">
        <v>4326.4409999999998</v>
      </c>
      <c r="R34" s="56">
        <v>3573.0450000000001</v>
      </c>
      <c r="S34" s="52"/>
      <c r="T34" s="53"/>
      <c r="U34" s="56">
        <f>79175.535+7320.804</f>
        <v>86496.339000000007</v>
      </c>
      <c r="V34" s="56">
        <f>20019.554+1372.533</f>
        <v>21392.087</v>
      </c>
      <c r="W34" s="52"/>
      <c r="X34" s="53"/>
      <c r="Y34" s="56"/>
      <c r="Z34" s="56"/>
      <c r="AA34" s="52"/>
      <c r="AB34" s="53"/>
      <c r="AC34" s="56">
        <f>376432+33391</f>
        <v>409823</v>
      </c>
      <c r="AD34" s="56">
        <f>198493+31351</f>
        <v>229844</v>
      </c>
      <c r="AE34" s="52"/>
      <c r="AF34" s="53"/>
      <c r="AG34" s="56">
        <f>1763+25396</f>
        <v>27159</v>
      </c>
      <c r="AH34" s="56">
        <f>1055+46075</f>
        <v>47130</v>
      </c>
      <c r="AI34" s="52"/>
      <c r="AJ34" s="53"/>
      <c r="AK34" s="56">
        <f>15311.475+4990.979+118000</f>
        <v>138302.454</v>
      </c>
      <c r="AL34" s="56">
        <f>12938.807+1849.044+150000</f>
        <v>164787.851</v>
      </c>
      <c r="AM34" s="52"/>
      <c r="AN34" s="53"/>
      <c r="AO34" s="56">
        <f>AO37-AO33-AO36</f>
        <v>5848.5110000000077</v>
      </c>
      <c r="AP34" s="56">
        <f>AP37-AP33-AP36</f>
        <v>4218.328999999997</v>
      </c>
      <c r="AQ34" s="52"/>
      <c r="AR34" s="53"/>
      <c r="AS34" s="56">
        <f>26420.282+576</f>
        <v>26996.281999999999</v>
      </c>
      <c r="AT34" s="56">
        <f>8350</f>
        <v>8350</v>
      </c>
      <c r="AU34" s="52"/>
      <c r="AV34" s="53"/>
      <c r="AW34" s="56">
        <f>450701+25000</f>
        <v>475701</v>
      </c>
      <c r="AX34" s="56">
        <f>404933+25000</f>
        <v>429933</v>
      </c>
      <c r="AY34" s="52"/>
      <c r="AZ34" s="53"/>
      <c r="BA34" s="56">
        <f>1596.616</f>
        <v>1596.616</v>
      </c>
      <c r="BB34" s="56">
        <v>959.31899999999996</v>
      </c>
      <c r="BC34" s="52"/>
      <c r="BD34" s="53"/>
      <c r="BE34" s="56">
        <v>33205.491999999998</v>
      </c>
      <c r="BF34" s="56">
        <f>27000.515</f>
        <v>27000.514999999999</v>
      </c>
      <c r="BG34" s="52"/>
      <c r="BH34" s="53"/>
      <c r="BI34" s="56">
        <f>11529.527</f>
        <v>11529.527</v>
      </c>
      <c r="BJ34" s="56">
        <v>9198.7939999999999</v>
      </c>
      <c r="BK34" s="52"/>
      <c r="BL34" s="53"/>
      <c r="BM34" s="56">
        <v>137311</v>
      </c>
      <c r="BN34" s="56">
        <v>104564</v>
      </c>
      <c r="BO34" s="52"/>
      <c r="BP34" s="53"/>
      <c r="BQ34" s="56">
        <f>76.357+2219.102+1960.599</f>
        <v>4256.058</v>
      </c>
      <c r="BR34" s="56">
        <f>96.924+1766.792+1519.946</f>
        <v>3383.6619999999998</v>
      </c>
      <c r="BS34" s="52"/>
      <c r="BT34" s="53"/>
      <c r="BU34" s="56">
        <f>15669.492+854.605</f>
        <v>16524.097000000002</v>
      </c>
      <c r="BV34" s="56">
        <f>10266.546+524.688</f>
        <v>10791.234</v>
      </c>
      <c r="BW34" s="52"/>
      <c r="BX34" s="53"/>
      <c r="BY34" s="56">
        <v>23760.413</v>
      </c>
      <c r="BZ34" s="56">
        <v>9376.3629999999994</v>
      </c>
      <c r="CA34" s="52"/>
      <c r="CB34" s="53"/>
      <c r="CC34" s="56">
        <f>1766.451+2000</f>
        <v>3766.451</v>
      </c>
      <c r="CD34" s="56">
        <f>527.683+706.458</f>
        <v>1234.1410000000001</v>
      </c>
    </row>
    <row r="35" spans="1:82" s="6" customFormat="1" ht="12.75" customHeight="1" x14ac:dyDescent="0.2">
      <c r="B35" s="65" t="s">
        <v>141</v>
      </c>
      <c r="C35" s="7"/>
      <c r="D35" s="8"/>
      <c r="E35" s="51">
        <f>E37-E36-SUM(E33:E34)</f>
        <v>1327</v>
      </c>
      <c r="F35" s="51">
        <f>F37-F36-SUM(F33:F34)</f>
        <v>5827</v>
      </c>
      <c r="G35" s="7"/>
      <c r="H35" s="8"/>
      <c r="I35" s="51">
        <f>I37-I36-SUM(I33:I34)</f>
        <v>601.95599999999831</v>
      </c>
      <c r="J35" s="51">
        <f>J37-J36-SUM(J33:J34)</f>
        <v>406.82099999999991</v>
      </c>
      <c r="K35" s="7"/>
      <c r="L35" s="8"/>
      <c r="M35" s="51">
        <f>M37-M36-SUM(M33:M34)</f>
        <v>859</v>
      </c>
      <c r="N35" s="51">
        <f>N37-N36-SUM(N33:N34)</f>
        <v>298</v>
      </c>
      <c r="O35" s="7"/>
      <c r="P35" s="8"/>
      <c r="Q35" s="51">
        <f>Q37-Q36-SUM(Q33:Q34)</f>
        <v>830.63999999999942</v>
      </c>
      <c r="R35" s="51">
        <f>R37-R36-SUM(R33:R34)</f>
        <v>819.57600000000093</v>
      </c>
      <c r="S35" s="7"/>
      <c r="T35" s="8"/>
      <c r="U35" s="51">
        <f>U37-U36-SUM(U33:U34)</f>
        <v>868.41899999999441</v>
      </c>
      <c r="V35" s="51">
        <f>V37-V36-SUM(V33:V34)</f>
        <v>115.97399999999834</v>
      </c>
      <c r="W35" s="7"/>
      <c r="X35" s="8"/>
      <c r="Y35" s="51"/>
      <c r="Z35" s="51"/>
      <c r="AA35" s="7"/>
      <c r="AB35" s="8"/>
      <c r="AC35" s="51">
        <f>AC37-AC36-SUM(AC33:AC34)</f>
        <v>20004</v>
      </c>
      <c r="AD35" s="51">
        <f>AD37-AD36-SUM(AD33:AD34)</f>
        <v>19029</v>
      </c>
      <c r="AE35" s="7"/>
      <c r="AF35" s="8"/>
      <c r="AG35" s="51">
        <f>AG37-AG36-SUM(AG33:AG34)</f>
        <v>261</v>
      </c>
      <c r="AH35" s="51">
        <f>AH37-AH36-SUM(AH33:AH34)</f>
        <v>274</v>
      </c>
      <c r="AI35" s="7"/>
      <c r="AJ35" s="8"/>
      <c r="AK35" s="51">
        <f>AK37-AK36-SUM(AK33:AK34)</f>
        <v>4309.4438279999886</v>
      </c>
      <c r="AL35" s="51">
        <f>AL37-AL36-SUM(AL33:AL34)</f>
        <v>2787.6900000000023</v>
      </c>
      <c r="AM35" s="7"/>
      <c r="AN35" s="8"/>
      <c r="AO35" s="51">
        <v>0</v>
      </c>
      <c r="AP35" s="51">
        <v>0</v>
      </c>
      <c r="AQ35" s="7"/>
      <c r="AR35" s="8"/>
      <c r="AS35" s="51">
        <f>AS37-AS36-SUM(AS33:AS34)</f>
        <v>664.05899999999383</v>
      </c>
      <c r="AT35" s="51">
        <f>AT37-AT36-SUM(AT33:AT34)</f>
        <v>119.37800000000061</v>
      </c>
      <c r="AU35" s="7"/>
      <c r="AV35" s="8"/>
      <c r="AW35" s="51">
        <f>AW37-AW36-SUM(AW33:AW34)</f>
        <v>3312</v>
      </c>
      <c r="AX35" s="51">
        <f>AX37-AX36-SUM(AX33:AX34)</f>
        <v>3419</v>
      </c>
      <c r="AY35" s="7"/>
      <c r="AZ35" s="8"/>
      <c r="BA35" s="51">
        <f>BA37-BA36-SUM(BA33:BA34)</f>
        <v>59.807999999999993</v>
      </c>
      <c r="BB35" s="51">
        <f>BB37-BB36-SUM(BB33:BB34)</f>
        <v>50.562999999999874</v>
      </c>
      <c r="BC35" s="7"/>
      <c r="BD35" s="8"/>
      <c r="BE35" s="51">
        <f>BE37-BE36-SUM(BE33:BE34)</f>
        <v>1287.8800000000047</v>
      </c>
      <c r="BF35" s="51">
        <f>BF37-BF36-SUM(BF33:BF34)</f>
        <v>1142.474000000002</v>
      </c>
      <c r="BG35" s="7"/>
      <c r="BH35" s="8"/>
      <c r="BI35" s="51">
        <f>BI37-BI36-SUM(BI33:BI34)</f>
        <v>539.10400000000118</v>
      </c>
      <c r="BJ35" s="51">
        <f>BJ37-BJ36-SUM(BJ33:BJ34)</f>
        <v>231.39900000000125</v>
      </c>
      <c r="BK35" s="7"/>
      <c r="BL35" s="8"/>
      <c r="BM35" s="51">
        <f>BM37-BM36-SUM(BM33:BM34)</f>
        <v>0</v>
      </c>
      <c r="BN35" s="51">
        <f>BN37-BN36-SUM(BN33:BN34)</f>
        <v>0</v>
      </c>
      <c r="BO35" s="7"/>
      <c r="BP35" s="8"/>
      <c r="BQ35" s="51">
        <f>BQ37-BQ36-SUM(BQ33:BQ34)</f>
        <v>5848.5109999999986</v>
      </c>
      <c r="BR35" s="51">
        <f>BR37-BR36-SUM(BR33:BR34)</f>
        <v>4218.3289999999979</v>
      </c>
      <c r="BS35" s="7"/>
      <c r="BT35" s="8"/>
      <c r="BU35" s="51">
        <f>BU37-BU36-SUM(BU33:BU34)</f>
        <v>1999.9999999999927</v>
      </c>
      <c r="BV35" s="51">
        <f>BV37-BV36-SUM(BV33:BV34)</f>
        <v>412.0010000000002</v>
      </c>
      <c r="BW35" s="7"/>
      <c r="BX35" s="8"/>
      <c r="BY35" s="51">
        <f>BY37-BY34-BY33-BY36</f>
        <v>452.47500000000127</v>
      </c>
      <c r="BZ35" s="51">
        <f>BZ37-BZ34-BZ33-BZ36</f>
        <v>223.61500000000069</v>
      </c>
      <c r="CA35" s="7"/>
      <c r="CB35" s="8"/>
      <c r="CC35" s="51">
        <f>CC37-CC34-CC33-CC36</f>
        <v>390.25400000000053</v>
      </c>
      <c r="CD35" s="51">
        <f>CD37-CD34-CD33-CD36</f>
        <v>260.99800000000027</v>
      </c>
    </row>
    <row r="36" spans="1:82" s="58" customFormat="1" ht="12.75" customHeight="1" x14ac:dyDescent="0.2">
      <c r="B36" s="39" t="s">
        <v>142</v>
      </c>
      <c r="C36" s="63"/>
      <c r="D36" s="64"/>
      <c r="E36" s="43">
        <v>10117</v>
      </c>
      <c r="F36" s="43">
        <v>3687</v>
      </c>
      <c r="G36" s="63"/>
      <c r="H36" s="64"/>
      <c r="I36" s="43">
        <v>754.33900000000006</v>
      </c>
      <c r="J36" s="43">
        <v>196.46</v>
      </c>
      <c r="K36" s="63"/>
      <c r="L36" s="64"/>
      <c r="M36" s="43">
        <v>423</v>
      </c>
      <c r="N36" s="43">
        <v>-21</v>
      </c>
      <c r="O36" s="63"/>
      <c r="P36" s="64"/>
      <c r="Q36" s="43">
        <v>9834.6740000000009</v>
      </c>
      <c r="R36" s="43">
        <f>9409.254</f>
        <v>9409.2540000000008</v>
      </c>
      <c r="S36" s="63"/>
      <c r="T36" s="64"/>
      <c r="U36" s="43">
        <v>886.76800000000003</v>
      </c>
      <c r="V36" s="43">
        <v>406.99700000000001</v>
      </c>
      <c r="W36" s="63"/>
      <c r="X36" s="64"/>
      <c r="Y36" s="43"/>
      <c r="Z36" s="43"/>
      <c r="AA36" s="63"/>
      <c r="AB36" s="64"/>
      <c r="AC36" s="43">
        <f>90247</f>
        <v>90247</v>
      </c>
      <c r="AD36" s="43">
        <v>82169</v>
      </c>
      <c r="AE36" s="63"/>
      <c r="AF36" s="64"/>
      <c r="AG36" s="43">
        <v>13217</v>
      </c>
      <c r="AH36" s="43">
        <f>11302</f>
        <v>11302</v>
      </c>
      <c r="AI36" s="63"/>
      <c r="AJ36" s="64"/>
      <c r="AK36" s="43">
        <f>28418.198</f>
        <v>28418.198</v>
      </c>
      <c r="AL36" s="43">
        <v>26035.32</v>
      </c>
      <c r="AM36" s="63"/>
      <c r="AN36" s="64"/>
      <c r="AO36" s="43">
        <v>5901.741</v>
      </c>
      <c r="AP36" s="43">
        <v>4832.0680000000002</v>
      </c>
      <c r="AQ36" s="63"/>
      <c r="AR36" s="64"/>
      <c r="AS36" s="43">
        <v>2760.3150000000001</v>
      </c>
      <c r="AT36" s="43">
        <v>2025.26</v>
      </c>
      <c r="AU36" s="63"/>
      <c r="AV36" s="64"/>
      <c r="AW36" s="43">
        <f>16793</f>
        <v>16793</v>
      </c>
      <c r="AX36" s="43">
        <v>22220</v>
      </c>
      <c r="AY36" s="63"/>
      <c r="AZ36" s="64"/>
      <c r="BA36" s="43">
        <f>885.052</f>
        <v>885.05200000000002</v>
      </c>
      <c r="BB36" s="43">
        <v>603.49900000000002</v>
      </c>
      <c r="BC36" s="63"/>
      <c r="BD36" s="64"/>
      <c r="BE36" s="43">
        <f>8870.212</f>
        <v>8870.2119999999995</v>
      </c>
      <c r="BF36" s="43">
        <v>5373.473</v>
      </c>
      <c r="BG36" s="63"/>
      <c r="BH36" s="64"/>
      <c r="BI36" s="43">
        <v>1589.5150000000001</v>
      </c>
      <c r="BJ36" s="43">
        <v>1044.633</v>
      </c>
      <c r="BK36" s="63"/>
      <c r="BL36" s="64"/>
      <c r="BM36" s="43">
        <f>16593</f>
        <v>16593</v>
      </c>
      <c r="BN36" s="43">
        <f>12744</f>
        <v>12744</v>
      </c>
      <c r="BO36" s="63"/>
      <c r="BP36" s="64"/>
      <c r="BQ36" s="43">
        <v>5901.741</v>
      </c>
      <c r="BR36" s="43">
        <v>4832.0680000000002</v>
      </c>
      <c r="BS36" s="63"/>
      <c r="BT36" s="64"/>
      <c r="BU36" s="43">
        <v>5343.2849999999999</v>
      </c>
      <c r="BV36" s="43">
        <v>3023.5749999999998</v>
      </c>
      <c r="BW36" s="63"/>
      <c r="BX36" s="64"/>
      <c r="BY36" s="43">
        <v>5234.6390000000001</v>
      </c>
      <c r="BZ36" s="43">
        <v>2619.2809999999999</v>
      </c>
      <c r="CA36" s="63"/>
      <c r="CB36" s="64"/>
      <c r="CC36" s="43">
        <v>450.28199999999998</v>
      </c>
      <c r="CD36" s="43">
        <v>1440.4449999999999</v>
      </c>
    </row>
    <row r="37" spans="1:82" s="6" customFormat="1" ht="12.75" customHeight="1" x14ac:dyDescent="0.2">
      <c r="B37" s="6" t="s">
        <v>143</v>
      </c>
      <c r="C37" s="7"/>
      <c r="D37" s="8"/>
      <c r="E37" s="51">
        <f>E30</f>
        <v>54343</v>
      </c>
      <c r="F37" s="51">
        <f>F30</f>
        <v>43295</v>
      </c>
      <c r="G37" s="7"/>
      <c r="H37" s="8"/>
      <c r="I37" s="51">
        <f>I30</f>
        <v>25818.330999999998</v>
      </c>
      <c r="J37" s="51">
        <f>J30</f>
        <v>25090.218000000001</v>
      </c>
      <c r="K37" s="7"/>
      <c r="L37" s="8"/>
      <c r="M37" s="51">
        <f>M30</f>
        <v>15423</v>
      </c>
      <c r="N37" s="51">
        <f>N30</f>
        <v>12286</v>
      </c>
      <c r="O37" s="7"/>
      <c r="P37" s="8"/>
      <c r="Q37" s="51">
        <f>Q30</f>
        <v>115294.697</v>
      </c>
      <c r="R37" s="51">
        <f>R30</f>
        <v>102112.49800000001</v>
      </c>
      <c r="S37" s="7"/>
      <c r="T37" s="8"/>
      <c r="U37" s="51">
        <f>U30</f>
        <v>99658.577000000005</v>
      </c>
      <c r="V37" s="51">
        <f>V30</f>
        <v>23949.368999999999</v>
      </c>
      <c r="W37" s="7"/>
      <c r="X37" s="8"/>
      <c r="Y37" s="51"/>
      <c r="Z37" s="51"/>
      <c r="AA37" s="7"/>
      <c r="AB37" s="8"/>
      <c r="AC37" s="51">
        <f>AC30</f>
        <v>806200</v>
      </c>
      <c r="AD37" s="51">
        <f>AD30</f>
        <v>691795</v>
      </c>
      <c r="AE37" s="7"/>
      <c r="AF37" s="8"/>
      <c r="AG37" s="51">
        <f>AG30</f>
        <v>99860</v>
      </c>
      <c r="AH37" s="51">
        <f>AH30</f>
        <v>93505</v>
      </c>
      <c r="AI37" s="7"/>
      <c r="AJ37" s="8"/>
      <c r="AK37" s="51">
        <f>AK30</f>
        <v>219651.62599999999</v>
      </c>
      <c r="AL37" s="51">
        <f>AL30</f>
        <v>216638.26800000001</v>
      </c>
      <c r="AM37" s="7"/>
      <c r="AN37" s="8"/>
      <c r="AO37" s="51">
        <f>AO30</f>
        <v>148184.641</v>
      </c>
      <c r="AP37" s="51">
        <f>AP30</f>
        <v>123985.921</v>
      </c>
      <c r="AQ37" s="7"/>
      <c r="AR37" s="8"/>
      <c r="AS37" s="51">
        <f>AS30</f>
        <v>48746.483999999997</v>
      </c>
      <c r="AT37" s="51">
        <f>AT30</f>
        <v>19688.637999999999</v>
      </c>
      <c r="AU37" s="7"/>
      <c r="AV37" s="8"/>
      <c r="AW37" s="51">
        <f>AW30</f>
        <v>526206</v>
      </c>
      <c r="AX37" s="51">
        <f>AX30</f>
        <v>493672</v>
      </c>
      <c r="AY37" s="7"/>
      <c r="AZ37" s="8"/>
      <c r="BA37" s="51">
        <f>BA30</f>
        <v>5667.9189999999999</v>
      </c>
      <c r="BB37" s="51">
        <f>BB30</f>
        <v>2334.0819999999999</v>
      </c>
      <c r="BC37" s="7"/>
      <c r="BD37" s="8"/>
      <c r="BE37" s="51">
        <f>BE30</f>
        <v>83679.213000000003</v>
      </c>
      <c r="BF37" s="51">
        <f>BF30</f>
        <v>43993.824000000001</v>
      </c>
      <c r="BG37" s="7"/>
      <c r="BH37" s="8"/>
      <c r="BI37" s="51">
        <f>BI30</f>
        <v>17144.060000000001</v>
      </c>
      <c r="BJ37" s="51">
        <f>BJ30</f>
        <v>11968.846000000001</v>
      </c>
      <c r="BK37" s="7"/>
      <c r="BL37" s="8"/>
      <c r="BM37" s="51">
        <f>BM30</f>
        <v>157264</v>
      </c>
      <c r="BN37" s="51">
        <f>BN30</f>
        <v>120109</v>
      </c>
      <c r="BO37" s="7"/>
      <c r="BP37" s="8"/>
      <c r="BQ37" s="51">
        <f>BQ30</f>
        <v>148184.641</v>
      </c>
      <c r="BR37" s="51">
        <f>BR30</f>
        <v>123985.921</v>
      </c>
      <c r="BS37" s="7"/>
      <c r="BT37" s="8"/>
      <c r="BU37" s="51">
        <f>BU30</f>
        <v>40698.006999999998</v>
      </c>
      <c r="BV37" s="51">
        <f>BV30</f>
        <v>23349.904999999999</v>
      </c>
      <c r="BW37" s="7"/>
      <c r="BX37" s="8"/>
      <c r="BY37" s="51">
        <f>BY30</f>
        <v>46075.862000000001</v>
      </c>
      <c r="BZ37" s="51">
        <f>BZ30</f>
        <v>17972.036</v>
      </c>
      <c r="CA37" s="7"/>
      <c r="CB37" s="8"/>
      <c r="CC37" s="51">
        <f>CC30</f>
        <v>8065.93</v>
      </c>
      <c r="CD37" s="51">
        <f>CD30</f>
        <v>3763.1930000000002</v>
      </c>
    </row>
    <row r="38" spans="1:82" s="6" customFormat="1" ht="12.75" customHeight="1" x14ac:dyDescent="0.2">
      <c r="C38" s="7"/>
      <c r="D38" s="8"/>
      <c r="E38" s="51"/>
      <c r="F38" s="51"/>
      <c r="G38" s="7"/>
      <c r="H38" s="8"/>
      <c r="I38" s="51"/>
      <c r="J38" s="51"/>
      <c r="K38" s="7"/>
      <c r="L38" s="8"/>
      <c r="M38" s="51"/>
      <c r="N38" s="51"/>
      <c r="O38" s="7"/>
      <c r="P38" s="8"/>
      <c r="Q38" s="51"/>
      <c r="R38" s="51"/>
      <c r="S38" s="7"/>
      <c r="T38" s="8"/>
      <c r="U38" s="51"/>
      <c r="V38" s="51"/>
      <c r="W38" s="7"/>
      <c r="X38" s="8"/>
      <c r="Y38" s="51"/>
      <c r="Z38" s="51"/>
      <c r="AA38" s="7"/>
      <c r="AB38" s="8"/>
      <c r="AC38" s="51"/>
      <c r="AD38" s="51"/>
      <c r="AE38" s="7"/>
      <c r="AF38" s="8"/>
      <c r="AG38" s="51"/>
      <c r="AH38" s="51"/>
      <c r="AI38" s="7"/>
      <c r="AJ38" s="8"/>
      <c r="AK38" s="51"/>
      <c r="AL38" s="51"/>
      <c r="AM38" s="7"/>
      <c r="AN38" s="8"/>
      <c r="AO38" s="51"/>
      <c r="AP38" s="51"/>
      <c r="AQ38" s="7"/>
      <c r="AR38" s="8"/>
      <c r="AS38" s="51"/>
      <c r="AT38" s="51"/>
      <c r="AU38" s="7"/>
      <c r="AV38" s="8"/>
      <c r="AW38" s="51"/>
      <c r="AX38" s="51"/>
      <c r="AY38" s="7"/>
      <c r="AZ38" s="8"/>
      <c r="BA38" s="51"/>
      <c r="BB38" s="51"/>
      <c r="BC38" s="7"/>
      <c r="BD38" s="8"/>
      <c r="BE38" s="51"/>
      <c r="BF38" s="51"/>
      <c r="BG38" s="7"/>
      <c r="BH38" s="8"/>
      <c r="BI38" s="51"/>
      <c r="BJ38" s="51"/>
      <c r="BK38" s="7"/>
      <c r="BL38" s="8"/>
      <c r="BM38" s="51"/>
      <c r="BN38" s="51"/>
      <c r="BO38" s="7"/>
      <c r="BP38" s="8"/>
      <c r="BQ38" s="51"/>
      <c r="BR38" s="51"/>
      <c r="BS38" s="7"/>
      <c r="BT38" s="8"/>
      <c r="BU38" s="51"/>
      <c r="BV38" s="51"/>
      <c r="BW38" s="7"/>
      <c r="BX38" s="8"/>
      <c r="BY38" s="51"/>
      <c r="BZ38" s="51"/>
      <c r="CA38" s="7"/>
      <c r="CB38" s="8"/>
      <c r="CC38" s="51"/>
      <c r="CD38" s="51"/>
    </row>
    <row r="39" spans="1:82" s="6" customFormat="1" ht="12.75" customHeight="1" x14ac:dyDescent="0.2">
      <c r="A39" s="75" t="s">
        <v>144</v>
      </c>
      <c r="B39" s="65"/>
      <c r="C39" s="7"/>
      <c r="D39" s="8"/>
      <c r="E39" s="51"/>
      <c r="F39" s="51"/>
      <c r="G39" s="7"/>
      <c r="H39" s="8"/>
      <c r="I39" s="51"/>
      <c r="J39" s="51"/>
      <c r="K39" s="7"/>
      <c r="L39" s="8"/>
      <c r="M39" s="51"/>
      <c r="N39" s="51"/>
      <c r="O39" s="7"/>
      <c r="P39" s="8"/>
      <c r="Q39" s="51"/>
      <c r="R39" s="51"/>
      <c r="S39" s="7"/>
      <c r="T39" s="8"/>
      <c r="U39" s="51"/>
      <c r="V39" s="51"/>
      <c r="W39" s="7"/>
      <c r="X39" s="8"/>
      <c r="Y39" s="51"/>
      <c r="Z39" s="51"/>
      <c r="AA39" s="7"/>
      <c r="AB39" s="8"/>
      <c r="AC39" s="51"/>
      <c r="AD39" s="51"/>
      <c r="AE39" s="7"/>
      <c r="AF39" s="8"/>
      <c r="AG39" s="51"/>
      <c r="AH39" s="51"/>
      <c r="AI39" s="7"/>
      <c r="AJ39" s="8"/>
      <c r="AK39" s="51"/>
      <c r="AL39" s="51"/>
      <c r="AM39" s="7"/>
      <c r="AN39" s="8"/>
      <c r="AO39" s="51"/>
      <c r="AP39" s="51"/>
      <c r="AQ39" s="7"/>
      <c r="AR39" s="8"/>
      <c r="AS39" s="51"/>
      <c r="AT39" s="51"/>
      <c r="AU39" s="7"/>
      <c r="AV39" s="8"/>
      <c r="AW39" s="51"/>
      <c r="AX39" s="51"/>
      <c r="AY39" s="7"/>
      <c r="AZ39" s="8"/>
      <c r="BA39" s="51"/>
      <c r="BB39" s="51"/>
      <c r="BC39" s="7"/>
      <c r="BD39" s="8"/>
      <c r="BE39" s="51"/>
      <c r="BF39" s="51"/>
      <c r="BG39" s="7"/>
      <c r="BH39" s="8"/>
      <c r="BI39" s="51"/>
      <c r="BJ39" s="51"/>
      <c r="BK39" s="7"/>
      <c r="BL39" s="8"/>
      <c r="BM39" s="51"/>
      <c r="BN39" s="51"/>
      <c r="BO39" s="7"/>
      <c r="BP39" s="8"/>
      <c r="BQ39" s="51"/>
      <c r="BR39" s="51"/>
      <c r="BS39" s="7"/>
      <c r="BT39" s="8"/>
      <c r="BU39" s="51"/>
      <c r="BV39" s="51"/>
      <c r="BW39" s="7"/>
      <c r="BX39" s="8"/>
      <c r="BY39" s="51"/>
      <c r="BZ39" s="51"/>
      <c r="CA39" s="7"/>
      <c r="CB39" s="8"/>
      <c r="CC39" s="51"/>
      <c r="CD39" s="51"/>
    </row>
    <row r="40" spans="1:82" s="74" customFormat="1" x14ac:dyDescent="0.2">
      <c r="B40" s="76" t="s">
        <v>145</v>
      </c>
      <c r="C40" s="72"/>
      <c r="D40" s="73"/>
      <c r="E40" s="35">
        <v>154</v>
      </c>
      <c r="F40" s="35">
        <v>204</v>
      </c>
      <c r="G40" s="72"/>
      <c r="H40" s="73"/>
      <c r="I40" s="35">
        <v>0</v>
      </c>
      <c r="J40" s="35">
        <v>0</v>
      </c>
      <c r="K40" s="72"/>
      <c r="L40" s="73"/>
      <c r="M40" s="35">
        <v>0</v>
      </c>
      <c r="N40" s="35">
        <v>0</v>
      </c>
      <c r="O40" s="72"/>
      <c r="P40" s="73"/>
      <c r="Q40" s="35">
        <v>0</v>
      </c>
      <c r="R40" s="35">
        <v>0</v>
      </c>
      <c r="S40" s="72"/>
      <c r="T40" s="73"/>
      <c r="U40" s="35">
        <v>4398.1580000000004</v>
      </c>
      <c r="V40" s="35">
        <v>0</v>
      </c>
      <c r="W40" s="72"/>
      <c r="X40" s="73"/>
      <c r="Y40" s="35"/>
      <c r="Z40" s="35"/>
      <c r="AA40" s="72"/>
      <c r="AB40" s="73"/>
      <c r="AC40" s="35">
        <f>5306+1615+1143</f>
        <v>8064</v>
      </c>
      <c r="AD40" s="35">
        <f>5553+8659</f>
        <v>14212</v>
      </c>
      <c r="AE40" s="72"/>
      <c r="AF40" s="73"/>
      <c r="AG40" s="35">
        <v>134</v>
      </c>
      <c r="AH40" s="35">
        <v>163</v>
      </c>
      <c r="AI40" s="72"/>
      <c r="AJ40" s="73"/>
      <c r="AK40" s="35"/>
      <c r="AL40" s="35"/>
      <c r="AM40" s="72"/>
      <c r="AN40" s="73"/>
      <c r="AO40" s="35">
        <v>0</v>
      </c>
      <c r="AP40" s="35">
        <v>0</v>
      </c>
      <c r="AQ40" s="72"/>
      <c r="AR40" s="73"/>
      <c r="AS40" s="35">
        <v>0</v>
      </c>
      <c r="AT40" s="35">
        <v>0</v>
      </c>
      <c r="AU40" s="72"/>
      <c r="AV40" s="73"/>
      <c r="AW40" s="35">
        <v>0</v>
      </c>
      <c r="AX40" s="35">
        <v>0</v>
      </c>
      <c r="AY40" s="72"/>
      <c r="AZ40" s="73"/>
      <c r="BA40" s="35">
        <v>0</v>
      </c>
      <c r="BB40" s="35">
        <v>0</v>
      </c>
      <c r="BC40" s="72"/>
      <c r="BD40" s="73"/>
      <c r="BE40" s="35">
        <v>0</v>
      </c>
      <c r="BF40" s="35">
        <v>0</v>
      </c>
      <c r="BG40" s="72"/>
      <c r="BH40" s="73"/>
      <c r="BI40" s="35">
        <v>0</v>
      </c>
      <c r="BJ40" s="35">
        <v>0</v>
      </c>
      <c r="BK40" s="72"/>
      <c r="BL40" s="73"/>
      <c r="BM40" s="35">
        <v>680</v>
      </c>
      <c r="BN40" s="35">
        <v>1374</v>
      </c>
      <c r="BO40" s="72"/>
      <c r="BP40" s="73"/>
      <c r="BQ40" s="35">
        <v>0</v>
      </c>
      <c r="BR40" s="35">
        <v>0</v>
      </c>
      <c r="BS40" s="72"/>
      <c r="BT40" s="73"/>
      <c r="BU40" s="35">
        <v>0</v>
      </c>
      <c r="BV40" s="35">
        <v>0</v>
      </c>
      <c r="BW40" s="72"/>
      <c r="BX40" s="73"/>
      <c r="BY40" s="35">
        <v>0</v>
      </c>
      <c r="BZ40" s="35">
        <v>0</v>
      </c>
      <c r="CA40" s="72"/>
      <c r="CB40" s="73"/>
      <c r="CC40" s="35">
        <v>0</v>
      </c>
      <c r="CD40" s="35">
        <v>0</v>
      </c>
    </row>
    <row r="41" spans="1:82" s="58" customFormat="1" x14ac:dyDescent="0.2">
      <c r="B41" s="39" t="s">
        <v>147</v>
      </c>
      <c r="C41" s="63"/>
      <c r="D41" s="64"/>
      <c r="E41" s="43">
        <v>164</v>
      </c>
      <c r="F41" s="43">
        <v>623</v>
      </c>
      <c r="G41" s="63"/>
      <c r="H41" s="64"/>
      <c r="I41" s="43">
        <v>200</v>
      </c>
      <c r="J41" s="43">
        <v>200</v>
      </c>
      <c r="K41" s="63"/>
      <c r="L41" s="64"/>
      <c r="M41" s="43">
        <v>0</v>
      </c>
      <c r="N41" s="43">
        <v>0</v>
      </c>
      <c r="O41" s="63"/>
      <c r="P41" s="64"/>
      <c r="Q41" s="43">
        <v>1272.212</v>
      </c>
      <c r="R41" s="43">
        <v>1099.6590000000001</v>
      </c>
      <c r="S41" s="63"/>
      <c r="T41" s="64"/>
      <c r="U41" s="43">
        <v>6001.473</v>
      </c>
      <c r="V41" s="43">
        <v>0</v>
      </c>
      <c r="W41" s="63"/>
      <c r="X41" s="64"/>
      <c r="Y41" s="43"/>
      <c r="Z41" s="43"/>
      <c r="AA41" s="63"/>
      <c r="AB41" s="64"/>
      <c r="AC41" s="43">
        <v>1143</v>
      </c>
      <c r="AD41" s="43">
        <v>0</v>
      </c>
      <c r="AE41" s="63"/>
      <c r="AF41" s="64"/>
      <c r="AG41" s="43">
        <v>16</v>
      </c>
      <c r="AH41" s="43">
        <v>197</v>
      </c>
      <c r="AI41" s="63"/>
      <c r="AJ41" s="64"/>
      <c r="AK41" s="43"/>
      <c r="AL41" s="43"/>
      <c r="AM41" s="63"/>
      <c r="AN41" s="64"/>
      <c r="AO41" s="43">
        <v>129.054</v>
      </c>
      <c r="AP41" s="43">
        <v>128.851</v>
      </c>
      <c r="AQ41" s="63"/>
      <c r="AR41" s="64"/>
      <c r="AS41" s="43">
        <v>0</v>
      </c>
      <c r="AT41" s="43">
        <v>0</v>
      </c>
      <c r="AU41" s="63"/>
      <c r="AV41" s="64"/>
      <c r="AW41" s="43">
        <v>352</v>
      </c>
      <c r="AX41" s="43">
        <v>434</v>
      </c>
      <c r="AY41" s="63"/>
      <c r="AZ41" s="64"/>
      <c r="BA41" s="43">
        <v>75.733999999999995</v>
      </c>
      <c r="BB41" s="43">
        <v>17.021999999999998</v>
      </c>
      <c r="BC41" s="63"/>
      <c r="BD41" s="64"/>
      <c r="BE41" s="43">
        <v>16.707000000000001</v>
      </c>
      <c r="BF41" s="43"/>
      <c r="BG41" s="63"/>
      <c r="BH41" s="64"/>
      <c r="BI41" s="43">
        <v>1823.846</v>
      </c>
      <c r="BJ41" s="43">
        <v>1098.1759999999999</v>
      </c>
      <c r="BK41" s="63"/>
      <c r="BL41" s="64"/>
      <c r="BM41" s="43">
        <v>2943</v>
      </c>
      <c r="BN41" s="43">
        <v>1546</v>
      </c>
      <c r="BO41" s="63"/>
      <c r="BP41" s="64"/>
      <c r="BQ41" s="43">
        <v>129.054</v>
      </c>
      <c r="BR41" s="43">
        <v>128.851</v>
      </c>
      <c r="BS41" s="63"/>
      <c r="BT41" s="64"/>
      <c r="BU41" s="43">
        <v>218.995</v>
      </c>
      <c r="BV41" s="43">
        <v>516.51900000000001</v>
      </c>
      <c r="BW41" s="63"/>
      <c r="BX41" s="64"/>
      <c r="BY41" s="43">
        <v>637.11300000000006</v>
      </c>
      <c r="BZ41" s="43">
        <v>0</v>
      </c>
      <c r="CA41" s="63"/>
      <c r="CB41" s="64"/>
      <c r="CC41" s="43">
        <v>65</v>
      </c>
      <c r="CD41" s="43">
        <v>0</v>
      </c>
    </row>
    <row r="42" spans="1:82" x14ac:dyDescent="0.2">
      <c r="B42" s="65" t="s">
        <v>148</v>
      </c>
      <c r="E42" s="32">
        <f>SUM(E40:E41)</f>
        <v>318</v>
      </c>
      <c r="F42" s="32">
        <f>SUM(F40:F41)</f>
        <v>827</v>
      </c>
      <c r="I42" s="32">
        <f>SUM(I40:I41)</f>
        <v>200</v>
      </c>
      <c r="J42" s="32">
        <f>SUM(J40:J41)</f>
        <v>200</v>
      </c>
      <c r="M42" s="32">
        <v>0</v>
      </c>
      <c r="N42" s="32">
        <v>0</v>
      </c>
      <c r="Q42" s="32">
        <f>SUM(Q40:Q41)</f>
        <v>1272.212</v>
      </c>
      <c r="R42" s="32">
        <f>SUM(R40:R41)</f>
        <v>1099.6590000000001</v>
      </c>
      <c r="U42" s="32">
        <f>SUM(U40:U41)</f>
        <v>10399.631000000001</v>
      </c>
      <c r="V42" s="32">
        <f>SUM(V40:V41)</f>
        <v>0</v>
      </c>
      <c r="Y42" s="32"/>
      <c r="Z42" s="32"/>
      <c r="AC42" s="32">
        <f>SUM(AC40:AC41)</f>
        <v>9207</v>
      </c>
      <c r="AD42" s="32">
        <f>SUM(AD40:AD41)</f>
        <v>14212</v>
      </c>
      <c r="AG42" s="32">
        <f>SUM(AG40:AG41)</f>
        <v>150</v>
      </c>
      <c r="AH42" s="32">
        <f>SUM(AH40:AH41)</f>
        <v>360</v>
      </c>
      <c r="AK42" s="32"/>
      <c r="AL42" s="32"/>
      <c r="AO42" s="32">
        <f>SUM(AO40:AO41)</f>
        <v>129.054</v>
      </c>
      <c r="AP42" s="32">
        <f>SUM(AP40:AP41)</f>
        <v>128.851</v>
      </c>
      <c r="AS42" s="32">
        <v>0</v>
      </c>
      <c r="AT42" s="32">
        <v>0</v>
      </c>
      <c r="AW42" s="32">
        <f>SUM(AW40:AW41)</f>
        <v>352</v>
      </c>
      <c r="AX42" s="32">
        <f>SUM(AX40:AX41)</f>
        <v>434</v>
      </c>
      <c r="BA42" s="32">
        <f>SUM(BA40:BA41)</f>
        <v>75.733999999999995</v>
      </c>
      <c r="BB42" s="32">
        <f>SUM(BB40:BB41)</f>
        <v>17.021999999999998</v>
      </c>
      <c r="BE42" s="32">
        <f>SUM(BE40:BE41)</f>
        <v>16.707000000000001</v>
      </c>
      <c r="BF42" s="32">
        <f>SUM(BF40:BF41)</f>
        <v>0</v>
      </c>
      <c r="BI42" s="32">
        <f>SUM(BI40:BI41)</f>
        <v>1823.846</v>
      </c>
      <c r="BJ42" s="32">
        <f>SUM(BJ40:BJ41)</f>
        <v>1098.1759999999999</v>
      </c>
      <c r="BM42" s="32">
        <f>SUM(BM40:BM41)</f>
        <v>3623</v>
      </c>
      <c r="BN42" s="32">
        <f>SUM(BN40:BN41)</f>
        <v>2920</v>
      </c>
      <c r="BQ42" s="32">
        <f>SUM(BQ40:BQ41)</f>
        <v>129.054</v>
      </c>
      <c r="BR42" s="32">
        <f>SUM(BR40:BR41)</f>
        <v>128.851</v>
      </c>
      <c r="BU42" s="32">
        <f>SUM(BU40:BU41)</f>
        <v>218.995</v>
      </c>
      <c r="BV42" s="32">
        <f>SUM(BV40:BV41)</f>
        <v>516.51900000000001</v>
      </c>
      <c r="BY42" s="32">
        <f>SUM(BY40:BY41)</f>
        <v>637.11300000000006</v>
      </c>
      <c r="BZ42" s="32">
        <f>SUM(BZ40:BZ41)</f>
        <v>0</v>
      </c>
      <c r="CC42" s="32">
        <f>SUM(CC40:CC41)</f>
        <v>65</v>
      </c>
      <c r="CD42" s="32">
        <f>SUM(CD40:CD41)</f>
        <v>0</v>
      </c>
    </row>
    <row r="43" spans="1:82" ht="6" customHeight="1" x14ac:dyDescent="0.2">
      <c r="B43" s="65"/>
      <c r="E43" s="32"/>
      <c r="F43" s="32"/>
      <c r="I43" s="32"/>
      <c r="J43" s="32"/>
      <c r="M43" s="32"/>
      <c r="N43" s="32"/>
      <c r="Q43" s="32"/>
      <c r="R43" s="32"/>
      <c r="U43" s="32"/>
      <c r="V43" s="32"/>
      <c r="Y43" s="32"/>
      <c r="Z43" s="32"/>
      <c r="AC43" s="32"/>
      <c r="AD43" s="32"/>
      <c r="AG43" s="32"/>
      <c r="AH43" s="32"/>
      <c r="AK43" s="32"/>
      <c r="AL43" s="32"/>
      <c r="AO43" s="32"/>
      <c r="AP43" s="32"/>
      <c r="AS43" s="32"/>
      <c r="AT43" s="32"/>
      <c r="AW43" s="32"/>
      <c r="AX43" s="32"/>
      <c r="BA43" s="32"/>
      <c r="BB43" s="32"/>
      <c r="BE43" s="32"/>
      <c r="BF43" s="32"/>
      <c r="BI43" s="32"/>
      <c r="BJ43" s="32"/>
      <c r="BM43" s="32"/>
      <c r="BN43" s="32"/>
      <c r="BQ43" s="32"/>
      <c r="BR43" s="32"/>
      <c r="BU43" s="32"/>
      <c r="BV43" s="32"/>
      <c r="BY43" s="32"/>
      <c r="BZ43" s="32"/>
      <c r="CC43" s="32"/>
      <c r="CD43" s="32"/>
    </row>
    <row r="44" spans="1:82" s="74" customFormat="1" x14ac:dyDescent="0.2">
      <c r="B44" s="70" t="s">
        <v>149</v>
      </c>
      <c r="C44" s="72"/>
      <c r="D44" s="73"/>
      <c r="E44" s="43">
        <v>0</v>
      </c>
      <c r="F44" s="43">
        <v>145</v>
      </c>
      <c r="G44" s="72"/>
      <c r="H44" s="73"/>
      <c r="I44" s="35">
        <v>0</v>
      </c>
      <c r="J44" s="35">
        <v>0</v>
      </c>
      <c r="K44" s="72"/>
      <c r="L44" s="73"/>
      <c r="M44" s="35">
        <v>21</v>
      </c>
      <c r="N44" s="35">
        <v>0</v>
      </c>
      <c r="O44" s="72"/>
      <c r="P44" s="73"/>
      <c r="Q44" s="35">
        <v>0</v>
      </c>
      <c r="R44" s="35">
        <v>0</v>
      </c>
      <c r="S44" s="72"/>
      <c r="T44" s="73"/>
      <c r="U44" s="35">
        <v>250</v>
      </c>
      <c r="V44" s="35">
        <v>0</v>
      </c>
      <c r="W44" s="72"/>
      <c r="X44" s="73"/>
      <c r="Y44" s="35"/>
      <c r="Z44" s="35"/>
      <c r="AA44" s="72"/>
      <c r="AB44" s="73"/>
      <c r="AC44" s="35">
        <v>1616</v>
      </c>
      <c r="AD44" s="35">
        <v>8659</v>
      </c>
      <c r="AE44" s="72"/>
      <c r="AF44" s="73"/>
      <c r="AG44" s="35">
        <v>0</v>
      </c>
      <c r="AH44" s="35">
        <v>0</v>
      </c>
      <c r="AI44" s="72"/>
      <c r="AJ44" s="73"/>
      <c r="AK44" s="35"/>
      <c r="AL44" s="35"/>
      <c r="AM44" s="72"/>
      <c r="AN44" s="73"/>
      <c r="AO44" s="35">
        <v>72</v>
      </c>
      <c r="AP44" s="35">
        <v>52</v>
      </c>
      <c r="AQ44" s="72"/>
      <c r="AR44" s="73"/>
      <c r="AS44" s="35">
        <v>0</v>
      </c>
      <c r="AT44" s="35">
        <v>0</v>
      </c>
      <c r="AU44" s="72"/>
      <c r="AV44" s="73"/>
      <c r="AW44" s="35">
        <v>0</v>
      </c>
      <c r="AX44" s="35">
        <v>7</v>
      </c>
      <c r="AY44" s="72"/>
      <c r="AZ44" s="73"/>
      <c r="BA44" s="35"/>
      <c r="BB44" s="35"/>
      <c r="BC44" s="72"/>
      <c r="BD44" s="73"/>
      <c r="BE44" s="56"/>
      <c r="BF44" s="56"/>
      <c r="BG44" s="72"/>
      <c r="BH44" s="73"/>
      <c r="BI44" s="56">
        <v>322.44</v>
      </c>
      <c r="BJ44" s="56">
        <f>259.605</f>
        <v>259.60500000000002</v>
      </c>
      <c r="BK44" s="72"/>
      <c r="BL44" s="73"/>
      <c r="BM44" s="56">
        <v>163</v>
      </c>
      <c r="BN44" s="56">
        <v>202</v>
      </c>
      <c r="BO44" s="72"/>
      <c r="BP44" s="73"/>
      <c r="BQ44" s="56">
        <v>72</v>
      </c>
      <c r="BR44" s="56">
        <v>52</v>
      </c>
      <c r="BS44" s="72"/>
      <c r="BT44" s="73"/>
      <c r="BU44" s="56">
        <v>0</v>
      </c>
      <c r="BV44" s="56">
        <v>0</v>
      </c>
      <c r="BW44" s="72"/>
      <c r="BX44" s="73"/>
      <c r="BY44" s="56">
        <v>0</v>
      </c>
      <c r="BZ44" s="56">
        <v>0</v>
      </c>
      <c r="CA44" s="72"/>
      <c r="CB44" s="73"/>
      <c r="CC44" s="56">
        <v>1773</v>
      </c>
      <c r="CD44" s="56">
        <v>0</v>
      </c>
    </row>
    <row r="45" spans="1:82" s="58" customFormat="1" x14ac:dyDescent="0.2">
      <c r="B45" s="82" t="s">
        <v>150</v>
      </c>
      <c r="C45" s="63"/>
      <c r="D45" s="8"/>
      <c r="E45" s="35">
        <v>1216</v>
      </c>
      <c r="F45" s="35">
        <v>739</v>
      </c>
      <c r="G45" s="63"/>
      <c r="H45" s="64"/>
      <c r="I45" s="43">
        <v>0</v>
      </c>
      <c r="J45" s="43">
        <v>0</v>
      </c>
      <c r="K45" s="63"/>
      <c r="L45" s="64"/>
      <c r="M45" s="43">
        <v>197</v>
      </c>
      <c r="N45" s="43">
        <v>30</v>
      </c>
      <c r="O45" s="63"/>
      <c r="P45" s="64"/>
      <c r="Q45" s="43">
        <v>300</v>
      </c>
      <c r="R45" s="43">
        <v>200</v>
      </c>
      <c r="S45" s="63"/>
      <c r="T45" s="64"/>
      <c r="U45" s="43">
        <v>403.29500000000002</v>
      </c>
      <c r="V45" s="43">
        <v>22.26</v>
      </c>
      <c r="W45" s="63"/>
      <c r="X45" s="64"/>
      <c r="Y45" s="43"/>
      <c r="Z45" s="43"/>
      <c r="AA45" s="63"/>
      <c r="AB45" s="64"/>
      <c r="AC45" s="43">
        <v>6927</v>
      </c>
      <c r="AD45" s="43">
        <v>6019</v>
      </c>
      <c r="AE45" s="63"/>
      <c r="AF45" s="64"/>
      <c r="AG45" s="43">
        <v>760</v>
      </c>
      <c r="AH45" s="43">
        <v>670</v>
      </c>
      <c r="AI45" s="63"/>
      <c r="AJ45" s="64"/>
      <c r="AK45" s="43">
        <f>AK46</f>
        <v>1241.5820000000001</v>
      </c>
      <c r="AL45" s="43">
        <f>AL46</f>
        <v>1203.95</v>
      </c>
      <c r="AM45" s="63"/>
      <c r="AN45" s="64"/>
      <c r="AO45" s="43">
        <v>148</v>
      </c>
      <c r="AP45" s="43">
        <v>124</v>
      </c>
      <c r="AQ45" s="63"/>
      <c r="AR45" s="64"/>
      <c r="AS45" s="43">
        <v>0</v>
      </c>
      <c r="AT45" s="43">
        <v>0</v>
      </c>
      <c r="AU45" s="63"/>
      <c r="AV45" s="64"/>
      <c r="AW45" s="43">
        <v>2872</v>
      </c>
      <c r="AX45" s="43">
        <v>2864</v>
      </c>
      <c r="AY45" s="63"/>
      <c r="AZ45" s="64"/>
      <c r="BA45" s="43"/>
      <c r="BB45" s="43"/>
      <c r="BC45" s="63"/>
      <c r="BD45" s="64"/>
      <c r="BE45" s="43">
        <f>BE46</f>
        <v>63</v>
      </c>
      <c r="BF45" s="43">
        <f>BF46</f>
        <v>0</v>
      </c>
      <c r="BG45" s="63"/>
      <c r="BH45" s="64"/>
      <c r="BI45" s="43">
        <v>167.27600000000001</v>
      </c>
      <c r="BJ45" s="43">
        <v>186</v>
      </c>
      <c r="BK45" s="63"/>
      <c r="BL45" s="64"/>
      <c r="BM45" s="43">
        <v>1316</v>
      </c>
      <c r="BN45" s="43">
        <v>1033</v>
      </c>
      <c r="BO45" s="63"/>
      <c r="BP45" s="64"/>
      <c r="BQ45" s="43">
        <v>148</v>
      </c>
      <c r="BR45" s="43">
        <v>124</v>
      </c>
      <c r="BS45" s="63"/>
      <c r="BT45" s="64"/>
      <c r="BU45" s="43">
        <v>375</v>
      </c>
      <c r="BV45" s="43">
        <v>216</v>
      </c>
      <c r="BW45" s="63"/>
      <c r="BX45" s="64"/>
      <c r="BY45" s="43">
        <v>445.58800000000002</v>
      </c>
      <c r="BZ45" s="43">
        <v>146.61500000000001</v>
      </c>
      <c r="CA45" s="63"/>
      <c r="CB45" s="64"/>
      <c r="CC45" s="43">
        <v>0</v>
      </c>
      <c r="CD45" s="43">
        <v>0</v>
      </c>
    </row>
    <row r="46" spans="1:82" s="74" customFormat="1" ht="12.75" customHeight="1" x14ac:dyDescent="0.2">
      <c r="B46" s="5" t="s">
        <v>151</v>
      </c>
      <c r="C46" s="72"/>
      <c r="D46" s="73"/>
      <c r="E46" s="32">
        <f>SUM(E44:E45)</f>
        <v>1216</v>
      </c>
      <c r="F46" s="32">
        <f>SUM(F44:F45)</f>
        <v>884</v>
      </c>
      <c r="G46" s="72"/>
      <c r="H46" s="73"/>
      <c r="I46" s="32">
        <v>0</v>
      </c>
      <c r="J46" s="32">
        <v>0</v>
      </c>
      <c r="K46" s="72"/>
      <c r="L46" s="73"/>
      <c r="M46" s="32">
        <f>SUM(M44:M45)</f>
        <v>218</v>
      </c>
      <c r="N46" s="32">
        <f>SUM(N44:N45)</f>
        <v>30</v>
      </c>
      <c r="O46" s="72"/>
      <c r="P46" s="73"/>
      <c r="Q46" s="32">
        <f>SUM(Q44:Q45)</f>
        <v>300</v>
      </c>
      <c r="R46" s="32">
        <f>SUM(R44:R45)</f>
        <v>200</v>
      </c>
      <c r="S46" s="72"/>
      <c r="T46" s="73"/>
      <c r="U46" s="32">
        <f>SUM(U44:U45)</f>
        <v>653.29500000000007</v>
      </c>
      <c r="V46" s="32">
        <f>SUM(V44:V45)</f>
        <v>22.26</v>
      </c>
      <c r="W46" s="72"/>
      <c r="X46" s="73"/>
      <c r="Y46" s="32"/>
      <c r="Z46" s="32"/>
      <c r="AA46" s="72"/>
      <c r="AB46" s="73"/>
      <c r="AC46" s="32">
        <f>SUM(AC44:AC45)</f>
        <v>8543</v>
      </c>
      <c r="AD46" s="32">
        <f>SUM(AD44:AD45)</f>
        <v>14678</v>
      </c>
      <c r="AE46" s="72"/>
      <c r="AF46" s="73"/>
      <c r="AG46" s="32">
        <f>SUM(AG44:AG45)</f>
        <v>760</v>
      </c>
      <c r="AH46" s="32">
        <f>SUM(AH44:AH45)</f>
        <v>670</v>
      </c>
      <c r="AI46" s="72"/>
      <c r="AJ46" s="73"/>
      <c r="AK46" s="32">
        <f>1241.582</f>
        <v>1241.5820000000001</v>
      </c>
      <c r="AL46" s="32">
        <v>1203.95</v>
      </c>
      <c r="AM46" s="72"/>
      <c r="AN46" s="73"/>
      <c r="AO46" s="32">
        <f>SUM(AO44:AO45)</f>
        <v>220</v>
      </c>
      <c r="AP46" s="32">
        <f>SUM(AP44:AP45)</f>
        <v>176</v>
      </c>
      <c r="AQ46" s="72"/>
      <c r="AR46" s="73"/>
      <c r="AS46" s="32"/>
      <c r="AT46" s="32"/>
      <c r="AU46" s="72"/>
      <c r="AV46" s="73"/>
      <c r="AW46" s="32">
        <f>SUM(AW44:AW45)</f>
        <v>2872</v>
      </c>
      <c r="AX46" s="32">
        <f>SUM(AX44:AX45)</f>
        <v>2871</v>
      </c>
      <c r="AY46" s="72"/>
      <c r="AZ46" s="73"/>
      <c r="BA46" s="32">
        <f>BA51</f>
        <v>46.835999999999999</v>
      </c>
      <c r="BB46" s="32">
        <f>BB51</f>
        <v>17.901</v>
      </c>
      <c r="BC46" s="72"/>
      <c r="BD46" s="73"/>
      <c r="BE46" s="32">
        <v>63</v>
      </c>
      <c r="BF46" s="32">
        <v>0</v>
      </c>
      <c r="BG46" s="72"/>
      <c r="BH46" s="73"/>
      <c r="BI46" s="32">
        <f>SUM(BI44:BI45)</f>
        <v>489.71600000000001</v>
      </c>
      <c r="BJ46" s="32">
        <f>SUM(BJ44:BJ45)</f>
        <v>445.60500000000002</v>
      </c>
      <c r="BK46" s="72"/>
      <c r="BL46" s="73"/>
      <c r="BM46" s="32">
        <f>SUM(BM44:BM45)</f>
        <v>1479</v>
      </c>
      <c r="BN46" s="32">
        <f>SUM(BN44:BN45)</f>
        <v>1235</v>
      </c>
      <c r="BO46" s="72"/>
      <c r="BP46" s="73"/>
      <c r="BQ46" s="32">
        <f>SUM(BQ44:BQ45)</f>
        <v>220</v>
      </c>
      <c r="BR46" s="32">
        <f>SUM(BR44:BR45)</f>
        <v>176</v>
      </c>
      <c r="BS46" s="72"/>
      <c r="BT46" s="73"/>
      <c r="BU46" s="32">
        <f>SUM(BU44:BU45)</f>
        <v>375</v>
      </c>
      <c r="BV46" s="32">
        <f>SUM(BV44:BV45)</f>
        <v>216</v>
      </c>
      <c r="BW46" s="72"/>
      <c r="BX46" s="73"/>
      <c r="BY46" s="32">
        <f>SUM(BY44:BY45)</f>
        <v>445.58800000000002</v>
      </c>
      <c r="BZ46" s="32">
        <f>SUM(BZ44:BZ45)</f>
        <v>146.61500000000001</v>
      </c>
      <c r="CA46" s="72"/>
      <c r="CB46" s="73"/>
      <c r="CC46" s="32">
        <f>SUM(CC44:CC45)</f>
        <v>1773</v>
      </c>
      <c r="CD46" s="32">
        <f>SUM(CD44:CD45)</f>
        <v>0</v>
      </c>
    </row>
    <row r="47" spans="1:82" s="74" customFormat="1" ht="12.75" customHeight="1" x14ac:dyDescent="0.2">
      <c r="B47" s="5"/>
      <c r="C47" s="72"/>
      <c r="D47" s="73"/>
      <c r="E47" s="32"/>
      <c r="F47" s="32"/>
      <c r="G47" s="72"/>
      <c r="H47" s="73"/>
      <c r="I47" s="32"/>
      <c r="J47" s="32"/>
      <c r="K47" s="72"/>
      <c r="L47" s="73"/>
      <c r="M47" s="32"/>
      <c r="N47" s="32"/>
      <c r="O47" s="72"/>
      <c r="P47" s="73"/>
      <c r="Q47" s="32"/>
      <c r="R47" s="32"/>
      <c r="S47" s="72"/>
      <c r="T47" s="73"/>
      <c r="U47" s="32"/>
      <c r="V47" s="32"/>
      <c r="W47" s="72"/>
      <c r="X47" s="73"/>
      <c r="Y47" s="32"/>
      <c r="Z47" s="32"/>
      <c r="AA47" s="72"/>
      <c r="AB47" s="73"/>
      <c r="AC47" s="32"/>
      <c r="AD47" s="32"/>
      <c r="AE47" s="72"/>
      <c r="AF47" s="73"/>
      <c r="AG47" s="32"/>
      <c r="AH47" s="32"/>
      <c r="AI47" s="72"/>
      <c r="AJ47" s="73"/>
      <c r="AK47" s="32"/>
      <c r="AL47" s="32"/>
      <c r="AM47" s="72"/>
      <c r="AN47" s="73"/>
      <c r="AO47" s="32"/>
      <c r="AP47" s="32"/>
      <c r="AQ47" s="72"/>
      <c r="AR47" s="73"/>
      <c r="AS47" s="32"/>
      <c r="AT47" s="32"/>
      <c r="AU47" s="72"/>
      <c r="AV47" s="73"/>
      <c r="AW47" s="32"/>
      <c r="AX47" s="32"/>
      <c r="AY47" s="72"/>
      <c r="AZ47" s="73"/>
      <c r="BA47" s="32"/>
      <c r="BB47" s="32"/>
      <c r="BC47" s="72"/>
      <c r="BD47" s="73"/>
      <c r="BE47" s="32"/>
      <c r="BF47" s="32"/>
      <c r="BG47" s="72"/>
      <c r="BH47" s="73"/>
      <c r="BI47" s="32"/>
      <c r="BJ47" s="32"/>
      <c r="BK47" s="72"/>
      <c r="BL47" s="73"/>
      <c r="BM47" s="32"/>
      <c r="BN47" s="32"/>
      <c r="BO47" s="72"/>
      <c r="BP47" s="73"/>
      <c r="BQ47" s="32"/>
      <c r="BR47" s="32"/>
      <c r="BS47" s="72"/>
      <c r="BT47" s="73"/>
      <c r="BU47" s="32"/>
      <c r="BV47" s="32"/>
      <c r="BW47" s="72"/>
      <c r="BX47" s="73"/>
      <c r="BY47" s="32"/>
      <c r="BZ47" s="32"/>
      <c r="CA47" s="72"/>
      <c r="CB47" s="73"/>
      <c r="CC47" s="32"/>
      <c r="CD47" s="32"/>
    </row>
    <row r="48" spans="1:82" s="74" customFormat="1" ht="12.75" customHeight="1" x14ac:dyDescent="0.2">
      <c r="B48" s="70" t="s">
        <v>152</v>
      </c>
      <c r="C48" s="72"/>
      <c r="D48" s="73"/>
      <c r="E48" s="35">
        <f>739+145</f>
        <v>884</v>
      </c>
      <c r="F48" s="35">
        <f>559</f>
        <v>559</v>
      </c>
      <c r="G48" s="72"/>
      <c r="H48" s="73"/>
      <c r="I48" s="35">
        <v>0</v>
      </c>
      <c r="J48" s="35">
        <v>0</v>
      </c>
      <c r="K48" s="72"/>
      <c r="L48" s="73"/>
      <c r="M48" s="35">
        <f>M51-M49</f>
        <v>49</v>
      </c>
      <c r="N48" s="35">
        <f>N51-N49</f>
        <v>0</v>
      </c>
      <c r="O48" s="72"/>
      <c r="P48" s="73"/>
      <c r="Q48" s="35">
        <v>200</v>
      </c>
      <c r="R48" s="35">
        <v>100</v>
      </c>
      <c r="S48" s="72"/>
      <c r="T48" s="73"/>
      <c r="U48" s="35">
        <f>22.26+0</f>
        <v>22.26</v>
      </c>
      <c r="V48" s="35">
        <v>0</v>
      </c>
      <c r="W48" s="72"/>
      <c r="X48" s="73"/>
      <c r="Y48" s="35"/>
      <c r="Z48" s="35"/>
      <c r="AA48" s="72"/>
      <c r="AB48" s="73"/>
      <c r="AC48" s="35">
        <f>6019+8659</f>
        <v>14678</v>
      </c>
      <c r="AD48" s="35">
        <f>6319+15122</f>
        <v>21441</v>
      </c>
      <c r="AE48" s="72"/>
      <c r="AF48" s="73"/>
      <c r="AG48" s="35">
        <v>570</v>
      </c>
      <c r="AH48" s="35">
        <v>500</v>
      </c>
      <c r="AI48" s="72"/>
      <c r="AJ48" s="73"/>
      <c r="AK48" s="35">
        <v>1203.95</v>
      </c>
      <c r="AL48" s="35">
        <v>1121.393</v>
      </c>
      <c r="AM48" s="72"/>
      <c r="AN48" s="73"/>
      <c r="AO48" s="35">
        <v>176</v>
      </c>
      <c r="AP48" s="35">
        <v>100</v>
      </c>
      <c r="AQ48" s="72"/>
      <c r="AR48" s="73"/>
      <c r="AS48" s="35">
        <v>0</v>
      </c>
      <c r="AT48" s="35">
        <v>0</v>
      </c>
      <c r="AU48" s="72"/>
      <c r="AV48" s="73"/>
      <c r="AW48" s="35"/>
      <c r="AX48" s="35"/>
      <c r="AY48" s="72"/>
      <c r="AZ48" s="73"/>
      <c r="BA48" s="35">
        <v>17.901</v>
      </c>
      <c r="BB48" s="35">
        <v>10.906000000000001</v>
      </c>
      <c r="BC48" s="72"/>
      <c r="BD48" s="73"/>
      <c r="BE48" s="35"/>
      <c r="BF48" s="35"/>
      <c r="BG48" s="72"/>
      <c r="BH48" s="73"/>
      <c r="BI48" s="35">
        <v>445.60500000000002</v>
      </c>
      <c r="BJ48" s="35">
        <v>240</v>
      </c>
      <c r="BK48" s="72"/>
      <c r="BL48" s="73"/>
      <c r="BM48" s="35">
        <f>202+1033</f>
        <v>1235</v>
      </c>
      <c r="BN48" s="35">
        <f>41+768</f>
        <v>809</v>
      </c>
      <c r="BO48" s="72"/>
      <c r="BP48" s="73"/>
      <c r="BQ48" s="35">
        <v>176</v>
      </c>
      <c r="BR48" s="35">
        <v>100</v>
      </c>
      <c r="BS48" s="72"/>
      <c r="BT48" s="73"/>
      <c r="BU48" s="35">
        <v>216.19300000000001</v>
      </c>
      <c r="BV48" s="35">
        <v>90</v>
      </c>
      <c r="BW48" s="72"/>
      <c r="BX48" s="73"/>
      <c r="BY48" s="35">
        <v>146.61500000000001</v>
      </c>
      <c r="BZ48" s="35">
        <v>28.995000000000001</v>
      </c>
      <c r="CA48" s="72"/>
      <c r="CB48" s="73"/>
      <c r="CC48" s="35"/>
      <c r="CD48" s="35"/>
    </row>
    <row r="49" spans="1:82" s="74" customFormat="1" ht="12.75" customHeight="1" x14ac:dyDescent="0.2">
      <c r="B49" s="70" t="s">
        <v>153</v>
      </c>
      <c r="C49" s="72"/>
      <c r="D49" s="73"/>
      <c r="E49" s="35">
        <f>477-145</f>
        <v>332</v>
      </c>
      <c r="F49" s="35">
        <f>180+145</f>
        <v>325</v>
      </c>
      <c r="G49" s="72"/>
      <c r="H49" s="73"/>
      <c r="I49" s="35">
        <v>0</v>
      </c>
      <c r="J49" s="35">
        <v>0</v>
      </c>
      <c r="K49" s="72"/>
      <c r="L49" s="73"/>
      <c r="M49" s="35">
        <v>169</v>
      </c>
      <c r="N49" s="35">
        <v>30</v>
      </c>
      <c r="O49" s="72"/>
      <c r="P49" s="73"/>
      <c r="Q49" s="35">
        <v>100</v>
      </c>
      <c r="R49" s="35">
        <v>100</v>
      </c>
      <c r="S49" s="72"/>
      <c r="T49" s="73"/>
      <c r="U49" s="35">
        <f>381.035+250</f>
        <v>631.03500000000008</v>
      </c>
      <c r="V49" s="35">
        <v>22.26</v>
      </c>
      <c r="W49" s="72"/>
      <c r="X49" s="73"/>
      <c r="Y49" s="35"/>
      <c r="Z49" s="35"/>
      <c r="AA49" s="72"/>
      <c r="AB49" s="73"/>
      <c r="AC49" s="35">
        <f>3354-277</f>
        <v>3077</v>
      </c>
      <c r="AD49" s="35">
        <f>1417+706</f>
        <v>2123</v>
      </c>
      <c r="AE49" s="72"/>
      <c r="AF49" s="73"/>
      <c r="AG49" s="35">
        <v>180</v>
      </c>
      <c r="AH49" s="35">
        <v>70</v>
      </c>
      <c r="AI49" s="72"/>
      <c r="AJ49" s="73"/>
      <c r="AK49" s="35">
        <v>37.631999999999998</v>
      </c>
      <c r="AL49" s="35">
        <v>82.557000000000002</v>
      </c>
      <c r="AM49" s="72"/>
      <c r="AN49" s="73"/>
      <c r="AO49" s="35">
        <v>96</v>
      </c>
      <c r="AP49" s="35">
        <v>76</v>
      </c>
      <c r="AQ49" s="72"/>
      <c r="AR49" s="73"/>
      <c r="AS49" s="35">
        <v>0</v>
      </c>
      <c r="AT49" s="35">
        <v>0</v>
      </c>
      <c r="AU49" s="72"/>
      <c r="AV49" s="73"/>
      <c r="AW49" s="35"/>
      <c r="AX49" s="35"/>
      <c r="AY49" s="72"/>
      <c r="AZ49" s="73"/>
      <c r="BA49" s="35">
        <v>28.934999999999999</v>
      </c>
      <c r="BB49" s="35">
        <v>6.9950000000000001</v>
      </c>
      <c r="BC49" s="72"/>
      <c r="BD49" s="73"/>
      <c r="BE49" s="35"/>
      <c r="BF49" s="35"/>
      <c r="BG49" s="72"/>
      <c r="BH49" s="73"/>
      <c r="BI49" s="35">
        <f>62.835-18.724</f>
        <v>44.111000000000004</v>
      </c>
      <c r="BJ49" s="35">
        <f>19.605+186</f>
        <v>205.60499999999999</v>
      </c>
      <c r="BK49" s="72"/>
      <c r="BL49" s="73"/>
      <c r="BM49" s="35">
        <f>BM16</f>
        <v>244</v>
      </c>
      <c r="BN49" s="35">
        <f>BN16</f>
        <v>426</v>
      </c>
      <c r="BO49" s="72"/>
      <c r="BP49" s="73"/>
      <c r="BQ49" s="35">
        <v>96</v>
      </c>
      <c r="BR49" s="35">
        <v>76</v>
      </c>
      <c r="BS49" s="72"/>
      <c r="BT49" s="73"/>
      <c r="BU49" s="35">
        <v>158.554</v>
      </c>
      <c r="BV49" s="35">
        <v>126.193</v>
      </c>
      <c r="BW49" s="72"/>
      <c r="BX49" s="73"/>
      <c r="BY49" s="35">
        <v>298.97300000000001</v>
      </c>
      <c r="BZ49" s="35">
        <v>117.62</v>
      </c>
      <c r="CA49" s="72"/>
      <c r="CB49" s="73"/>
      <c r="CC49" s="35"/>
      <c r="CD49" s="35"/>
    </row>
    <row r="50" spans="1:82" s="38" customFormat="1" ht="12.75" customHeight="1" x14ac:dyDescent="0.2">
      <c r="B50" s="82" t="s">
        <v>154</v>
      </c>
      <c r="C50" s="46"/>
      <c r="D50" s="47"/>
      <c r="E50" s="43">
        <v>0</v>
      </c>
      <c r="F50" s="43">
        <v>0</v>
      </c>
      <c r="G50" s="46"/>
      <c r="H50" s="47"/>
      <c r="I50" s="43">
        <v>0</v>
      </c>
      <c r="J50" s="43">
        <v>0</v>
      </c>
      <c r="K50" s="46"/>
      <c r="L50" s="47"/>
      <c r="M50" s="43">
        <v>0</v>
      </c>
      <c r="N50" s="43">
        <v>0</v>
      </c>
      <c r="O50" s="46"/>
      <c r="P50" s="47"/>
      <c r="Q50" s="43">
        <v>0</v>
      </c>
      <c r="R50" s="43">
        <v>0</v>
      </c>
      <c r="S50" s="46"/>
      <c r="T50" s="47"/>
      <c r="U50" s="43">
        <v>0</v>
      </c>
      <c r="V50" s="43">
        <v>0</v>
      </c>
      <c r="W50" s="46"/>
      <c r="X50" s="47"/>
      <c r="Y50" s="43"/>
      <c r="Z50" s="43"/>
      <c r="AA50" s="46"/>
      <c r="AB50" s="47"/>
      <c r="AC50" s="43">
        <f>AC51-AC48-AC49</f>
        <v>-9212</v>
      </c>
      <c r="AD50" s="43">
        <f>AD51-AD48-AD49</f>
        <v>-8886</v>
      </c>
      <c r="AE50" s="46"/>
      <c r="AF50" s="47"/>
      <c r="AG50" s="43">
        <v>0</v>
      </c>
      <c r="AH50" s="43">
        <v>0</v>
      </c>
      <c r="AI50" s="46"/>
      <c r="AJ50" s="47"/>
      <c r="AK50" s="43">
        <v>0</v>
      </c>
      <c r="AL50" s="43">
        <v>0</v>
      </c>
      <c r="AM50" s="46"/>
      <c r="AN50" s="47"/>
      <c r="AO50" s="43">
        <v>-52</v>
      </c>
      <c r="AP50" s="43"/>
      <c r="AQ50" s="46"/>
      <c r="AR50" s="47"/>
      <c r="AS50" s="43">
        <v>0</v>
      </c>
      <c r="AT50" s="43">
        <v>0</v>
      </c>
      <c r="AU50" s="46"/>
      <c r="AV50" s="47"/>
      <c r="AW50" s="43"/>
      <c r="AX50" s="43"/>
      <c r="AY50" s="46"/>
      <c r="AZ50" s="47"/>
      <c r="BA50" s="43">
        <v>0</v>
      </c>
      <c r="BB50" s="43">
        <v>0</v>
      </c>
      <c r="BC50" s="46"/>
      <c r="BD50" s="47"/>
      <c r="BE50" s="43"/>
      <c r="BF50" s="43"/>
      <c r="BG50" s="46"/>
      <c r="BH50" s="47"/>
      <c r="BI50" s="43">
        <v>0</v>
      </c>
      <c r="BJ50" s="43">
        <v>0</v>
      </c>
      <c r="BK50" s="46"/>
      <c r="BL50" s="47"/>
      <c r="BM50" s="43">
        <f>BM48+BM49-BM51</f>
        <v>0</v>
      </c>
      <c r="BN50" s="43">
        <f>BN48+BN49-BN51</f>
        <v>0</v>
      </c>
      <c r="BO50" s="46"/>
      <c r="BP50" s="47"/>
      <c r="BQ50" s="43">
        <v>-52</v>
      </c>
      <c r="BR50" s="43">
        <v>0</v>
      </c>
      <c r="BS50" s="46"/>
      <c r="BT50" s="47"/>
      <c r="BU50" s="43">
        <v>0</v>
      </c>
      <c r="BV50" s="43">
        <v>0</v>
      </c>
      <c r="BW50" s="46"/>
      <c r="BX50" s="47"/>
      <c r="BY50" s="43">
        <v>0</v>
      </c>
      <c r="BZ50" s="43">
        <v>0</v>
      </c>
      <c r="CA50" s="46"/>
      <c r="CB50" s="47"/>
      <c r="CC50" s="43"/>
      <c r="CD50" s="43"/>
    </row>
    <row r="51" spans="1:82" s="74" customFormat="1" ht="12.75" customHeight="1" x14ac:dyDescent="0.2">
      <c r="B51" s="5" t="s">
        <v>155</v>
      </c>
      <c r="C51" s="72"/>
      <c r="D51" s="73"/>
      <c r="E51" s="32">
        <f>SUM(E48:E50)</f>
        <v>1216</v>
      </c>
      <c r="F51" s="32">
        <f>SUM(F48:F50)</f>
        <v>884</v>
      </c>
      <c r="G51" s="72"/>
      <c r="H51" s="73"/>
      <c r="I51" s="32">
        <v>0</v>
      </c>
      <c r="J51" s="32">
        <v>0</v>
      </c>
      <c r="K51" s="72"/>
      <c r="L51" s="73"/>
      <c r="M51" s="32">
        <f>M46</f>
        <v>218</v>
      </c>
      <c r="N51" s="32">
        <f>N46</f>
        <v>30</v>
      </c>
      <c r="O51" s="72"/>
      <c r="P51" s="73"/>
      <c r="Q51" s="32">
        <f>SUM(Q48:Q50)</f>
        <v>300</v>
      </c>
      <c r="R51" s="32">
        <f>SUM(R48:R50)</f>
        <v>200</v>
      </c>
      <c r="S51" s="72"/>
      <c r="T51" s="73"/>
      <c r="U51" s="32">
        <f>SUM(U48:U50)</f>
        <v>653.29500000000007</v>
      </c>
      <c r="V51" s="32">
        <f>SUM(V48:V50)</f>
        <v>22.26</v>
      </c>
      <c r="W51" s="72"/>
      <c r="X51" s="73"/>
      <c r="Y51" s="32"/>
      <c r="Z51" s="32"/>
      <c r="AA51" s="72"/>
      <c r="AB51" s="73"/>
      <c r="AC51" s="32">
        <f>AC46</f>
        <v>8543</v>
      </c>
      <c r="AD51" s="32">
        <f>AD46</f>
        <v>14678</v>
      </c>
      <c r="AE51" s="72"/>
      <c r="AF51" s="73"/>
      <c r="AG51" s="32">
        <f>SUM(AG48:AG50)</f>
        <v>750</v>
      </c>
      <c r="AH51" s="32">
        <f>SUM(AH48:AH50)</f>
        <v>570</v>
      </c>
      <c r="AI51" s="72"/>
      <c r="AJ51" s="73"/>
      <c r="AK51" s="32">
        <f>SUM(AK48:AK50)</f>
        <v>1241.5820000000001</v>
      </c>
      <c r="AL51" s="32">
        <f>SUM(AL48:AL50)</f>
        <v>1203.95</v>
      </c>
      <c r="AM51" s="72"/>
      <c r="AN51" s="73"/>
      <c r="AO51" s="32">
        <f>SUM(AO48:AO50)</f>
        <v>220</v>
      </c>
      <c r="AP51" s="32">
        <f>SUM(AP48:AP50)</f>
        <v>176</v>
      </c>
      <c r="AQ51" s="72"/>
      <c r="AR51" s="73"/>
      <c r="AS51" s="32">
        <v>0</v>
      </c>
      <c r="AT51" s="32">
        <v>0</v>
      </c>
      <c r="AU51" s="72"/>
      <c r="AV51" s="73"/>
      <c r="AW51" s="32"/>
      <c r="AX51" s="32"/>
      <c r="AY51" s="72"/>
      <c r="AZ51" s="73"/>
      <c r="BA51" s="32">
        <f>SUM(BA48:BA50)</f>
        <v>46.835999999999999</v>
      </c>
      <c r="BB51" s="32">
        <f>SUM(BB48:BB50)</f>
        <v>17.901</v>
      </c>
      <c r="BC51" s="72"/>
      <c r="BD51" s="73"/>
      <c r="BE51" s="32"/>
      <c r="BF51" s="32"/>
      <c r="BG51" s="72"/>
      <c r="BH51" s="73"/>
      <c r="BI51" s="32">
        <f>SUM(BI48:BI50)</f>
        <v>489.71600000000001</v>
      </c>
      <c r="BJ51" s="32">
        <f>SUM(BJ48:BJ50)</f>
        <v>445.60500000000002</v>
      </c>
      <c r="BK51" s="72"/>
      <c r="BL51" s="73"/>
      <c r="BM51" s="32">
        <f>BM46</f>
        <v>1479</v>
      </c>
      <c r="BN51" s="32">
        <f>BN46</f>
        <v>1235</v>
      </c>
      <c r="BO51" s="72"/>
      <c r="BP51" s="73"/>
      <c r="BQ51" s="32">
        <f>SUM(BQ48:BQ50)</f>
        <v>220</v>
      </c>
      <c r="BR51" s="32">
        <f>SUM(BR48:BR50)</f>
        <v>176</v>
      </c>
      <c r="BS51" s="72"/>
      <c r="BT51" s="73"/>
      <c r="BU51" s="32">
        <f>SUM(BU48:BU50)</f>
        <v>374.74700000000001</v>
      </c>
      <c r="BV51" s="32">
        <f>SUM(BV48:BV50)</f>
        <v>216.19299999999998</v>
      </c>
      <c r="BW51" s="72"/>
      <c r="BX51" s="73"/>
      <c r="BY51" s="32">
        <f>SUM(BY48:BY50)</f>
        <v>445.58800000000002</v>
      </c>
      <c r="BZ51" s="32">
        <f>SUM(BZ48:BZ50)</f>
        <v>146.61500000000001</v>
      </c>
      <c r="CA51" s="72"/>
      <c r="CB51" s="73"/>
      <c r="CC51" s="32"/>
      <c r="CD51" s="32"/>
    </row>
    <row r="52" spans="1:82" s="74" customFormat="1" ht="12.75" customHeight="1" x14ac:dyDescent="0.2">
      <c r="B52" s="5"/>
      <c r="C52" s="72"/>
      <c r="D52" s="73"/>
      <c r="E52" s="32" t="b">
        <f>E49=E16</f>
        <v>1</v>
      </c>
      <c r="F52" s="32"/>
      <c r="G52" s="72"/>
      <c r="H52" s="73"/>
      <c r="I52" s="32" t="b">
        <f>I49=I16</f>
        <v>1</v>
      </c>
      <c r="J52" s="32"/>
      <c r="K52" s="72"/>
      <c r="L52" s="73"/>
      <c r="M52" s="32" t="b">
        <f>M49=M16</f>
        <v>0</v>
      </c>
      <c r="N52" s="32"/>
      <c r="O52" s="72"/>
      <c r="P52" s="73"/>
      <c r="Q52" s="32" t="b">
        <f>Q49=Q16</f>
        <v>1</v>
      </c>
      <c r="R52" s="32"/>
      <c r="S52" s="72"/>
      <c r="T52" s="73"/>
      <c r="U52" s="32" t="b">
        <f>U49=U16</f>
        <v>1</v>
      </c>
      <c r="V52" s="32"/>
      <c r="W52" s="72"/>
      <c r="X52" s="73"/>
      <c r="Y52" s="32" t="b">
        <f>Y49=Y16</f>
        <v>1</v>
      </c>
      <c r="Z52" s="32"/>
      <c r="AA52" s="72"/>
      <c r="AB52" s="73"/>
      <c r="AC52" s="32" t="b">
        <f>AC49=AC16</f>
        <v>0</v>
      </c>
      <c r="AD52" s="32"/>
      <c r="AE52" s="72"/>
      <c r="AF52" s="73"/>
      <c r="AG52" s="32" t="b">
        <f>AG49=AG16</f>
        <v>1</v>
      </c>
      <c r="AH52" s="32"/>
      <c r="AI52" s="72"/>
      <c r="AJ52" s="73"/>
      <c r="AK52" s="32" t="b">
        <f>AK49=AK16</f>
        <v>1</v>
      </c>
      <c r="AL52" s="32"/>
      <c r="AM52" s="72"/>
      <c r="AN52" s="73"/>
      <c r="AO52" s="32" t="b">
        <f>AO49=AO16</f>
        <v>1</v>
      </c>
      <c r="AP52" s="32"/>
      <c r="AQ52" s="72"/>
      <c r="AR52" s="73"/>
      <c r="AS52" s="32" t="b">
        <f>AS49=AS16</f>
        <v>1</v>
      </c>
      <c r="AT52" s="32"/>
      <c r="AU52" s="72"/>
      <c r="AV52" s="73"/>
      <c r="AW52" s="32" t="b">
        <f>AW49=AW16</f>
        <v>0</v>
      </c>
      <c r="AX52" s="32"/>
      <c r="AY52" s="72"/>
      <c r="AZ52" s="73"/>
      <c r="BA52" s="32" t="b">
        <f>BA49=BA16</f>
        <v>1</v>
      </c>
      <c r="BB52" s="32"/>
      <c r="BC52" s="72"/>
      <c r="BD52" s="73"/>
      <c r="BE52" s="32" t="b">
        <f>BE49=BE16</f>
        <v>1</v>
      </c>
      <c r="BF52" s="32"/>
      <c r="BG52" s="72"/>
      <c r="BH52" s="73"/>
      <c r="BI52" s="32" t="b">
        <f>BI49=BI16</f>
        <v>1</v>
      </c>
      <c r="BJ52" s="32"/>
      <c r="BK52" s="72"/>
      <c r="BL52" s="73"/>
      <c r="BM52" s="32" t="b">
        <f>BM49=BM16</f>
        <v>1</v>
      </c>
      <c r="BN52" s="32"/>
      <c r="BO52" s="72"/>
      <c r="BP52" s="73"/>
      <c r="BQ52" s="32" t="b">
        <f>BQ49=BQ16</f>
        <v>1</v>
      </c>
      <c r="BR52" s="32"/>
      <c r="BS52" s="72"/>
      <c r="BT52" s="73"/>
      <c r="BU52" s="32" t="b">
        <f>BU49=BU16</f>
        <v>1</v>
      </c>
      <c r="BV52" s="32"/>
      <c r="BW52" s="72"/>
      <c r="BX52" s="73"/>
      <c r="BY52" s="32" t="b">
        <f>BY49=BY16</f>
        <v>1</v>
      </c>
      <c r="BZ52" s="32"/>
      <c r="CA52" s="72"/>
      <c r="CB52" s="73"/>
      <c r="CC52" s="32" t="b">
        <f>CC49=CC16</f>
        <v>0</v>
      </c>
      <c r="CD52" s="32"/>
    </row>
    <row r="53" spans="1:82" s="85" customFormat="1" ht="14.25" customHeight="1" x14ac:dyDescent="0.2">
      <c r="A53" s="84" t="s">
        <v>156</v>
      </c>
      <c r="C53" s="91"/>
      <c r="D53" s="92"/>
      <c r="E53" s="90"/>
      <c r="F53" s="90"/>
      <c r="G53" s="91"/>
      <c r="H53" s="92"/>
      <c r="I53" s="90"/>
      <c r="J53" s="90"/>
      <c r="K53" s="91"/>
      <c r="L53" s="92"/>
      <c r="M53" s="90"/>
      <c r="N53" s="90"/>
      <c r="O53" s="91"/>
      <c r="P53" s="92"/>
      <c r="Q53" s="90"/>
      <c r="R53" s="90"/>
      <c r="S53" s="91"/>
      <c r="T53" s="92"/>
      <c r="U53" s="90"/>
      <c r="V53" s="90"/>
      <c r="W53" s="91"/>
      <c r="X53" s="92"/>
      <c r="Y53" s="90"/>
      <c r="Z53" s="90"/>
      <c r="AA53" s="91"/>
      <c r="AB53" s="92"/>
      <c r="AC53" s="90"/>
      <c r="AD53" s="90"/>
      <c r="AE53" s="91"/>
      <c r="AF53" s="92"/>
      <c r="AG53" s="90"/>
      <c r="AH53" s="90"/>
      <c r="AI53" s="91"/>
      <c r="AJ53" s="92"/>
      <c r="AK53" s="90"/>
      <c r="AL53" s="90"/>
      <c r="AM53" s="91"/>
      <c r="AN53" s="92"/>
      <c r="AO53" s="90"/>
      <c r="AP53" s="90"/>
      <c r="AQ53" s="91"/>
      <c r="AR53" s="92"/>
      <c r="AS53" s="90"/>
      <c r="AT53" s="90"/>
      <c r="AU53" s="91"/>
      <c r="AV53" s="92"/>
      <c r="AW53" s="90"/>
      <c r="AX53" s="90"/>
      <c r="AY53" s="91"/>
      <c r="AZ53" s="92"/>
      <c r="BA53" s="90"/>
      <c r="BB53" s="90"/>
      <c r="BC53" s="91"/>
      <c r="BD53" s="92"/>
      <c r="BE53" s="90"/>
      <c r="BF53" s="90"/>
      <c r="BG53" s="91"/>
      <c r="BH53" s="92"/>
      <c r="BI53" s="90"/>
      <c r="BJ53" s="90"/>
      <c r="BK53" s="91"/>
      <c r="BL53" s="92"/>
      <c r="BM53" s="90"/>
      <c r="BN53" s="90"/>
      <c r="BO53" s="91"/>
      <c r="BP53" s="92"/>
      <c r="BQ53" s="90"/>
      <c r="BR53" s="90"/>
      <c r="BS53" s="91"/>
      <c r="BT53" s="92"/>
      <c r="BU53" s="90"/>
      <c r="BV53" s="90"/>
      <c r="BW53" s="91"/>
      <c r="BX53" s="92"/>
      <c r="BY53" s="90"/>
      <c r="BZ53" s="90"/>
      <c r="CA53" s="91"/>
      <c r="CB53" s="92"/>
      <c r="CC53" s="90"/>
      <c r="CD53" s="90"/>
    </row>
    <row r="54" spans="1:82" s="93" customFormat="1" ht="14.25" customHeight="1" x14ac:dyDescent="0.2">
      <c r="B54" s="93" t="s">
        <v>158</v>
      </c>
      <c r="C54" s="101"/>
      <c r="D54" s="102"/>
      <c r="E54" s="103">
        <v>52</v>
      </c>
      <c r="F54" s="103">
        <v>33</v>
      </c>
      <c r="G54" s="101"/>
      <c r="H54" s="102"/>
      <c r="I54" s="103">
        <v>144.07300000000001</v>
      </c>
      <c r="J54" s="103">
        <v>53.738</v>
      </c>
      <c r="K54" s="101"/>
      <c r="L54" s="102"/>
      <c r="M54" s="103"/>
      <c r="N54" s="103"/>
      <c r="O54" s="101"/>
      <c r="P54" s="102"/>
      <c r="Q54" s="103">
        <v>0</v>
      </c>
      <c r="R54" s="103">
        <v>5.3999999999999999E-2</v>
      </c>
      <c r="S54" s="101"/>
      <c r="T54" s="102"/>
      <c r="U54" s="103"/>
      <c r="V54" s="103"/>
      <c r="W54" s="101"/>
      <c r="X54" s="102"/>
      <c r="Y54" s="103"/>
      <c r="Z54" s="103"/>
      <c r="AA54" s="101"/>
      <c r="AB54" s="102"/>
      <c r="AC54" s="103">
        <v>715</v>
      </c>
      <c r="AD54" s="103">
        <v>252</v>
      </c>
      <c r="AE54" s="101"/>
      <c r="AF54" s="102"/>
      <c r="AG54" s="103"/>
      <c r="AH54" s="103"/>
      <c r="AI54" s="101"/>
      <c r="AJ54" s="102"/>
      <c r="AK54" s="103">
        <f>262.897+556.667+902.217</f>
        <v>1721.7809999999999</v>
      </c>
      <c r="AL54" s="103">
        <f>227.333+1078.529</f>
        <v>1305.8620000000001</v>
      </c>
      <c r="AM54" s="101"/>
      <c r="AN54" s="102"/>
      <c r="AO54" s="103"/>
      <c r="AP54" s="103"/>
      <c r="AQ54" s="101"/>
      <c r="AR54" s="102"/>
      <c r="AS54" s="103"/>
      <c r="AT54" s="103"/>
      <c r="AU54" s="101"/>
      <c r="AV54" s="102"/>
      <c r="AW54" s="103"/>
      <c r="AX54" s="103"/>
      <c r="AY54" s="101"/>
      <c r="AZ54" s="102"/>
      <c r="BA54" s="103"/>
      <c r="BB54" s="103"/>
      <c r="BC54" s="101"/>
      <c r="BD54" s="102"/>
      <c r="BE54" s="103"/>
      <c r="BF54" s="103"/>
      <c r="BG54" s="101"/>
      <c r="BH54" s="102"/>
      <c r="BI54" s="103"/>
      <c r="BJ54" s="103"/>
      <c r="BK54" s="101"/>
      <c r="BL54" s="102"/>
      <c r="BM54" s="103">
        <f>128+9+11+8</f>
        <v>156</v>
      </c>
      <c r="BN54" s="103">
        <f>163+20</f>
        <v>183</v>
      </c>
      <c r="BO54" s="101"/>
      <c r="BP54" s="102"/>
      <c r="BQ54" s="103"/>
      <c r="BR54" s="103"/>
      <c r="BS54" s="101"/>
      <c r="BT54" s="102"/>
      <c r="BU54" s="103">
        <v>360</v>
      </c>
      <c r="BV54" s="103">
        <v>82.68</v>
      </c>
      <c r="BW54" s="101"/>
      <c r="BX54" s="102"/>
      <c r="BY54" s="103"/>
      <c r="BZ54" s="103"/>
      <c r="CA54" s="101"/>
      <c r="CB54" s="102"/>
      <c r="CC54" s="103"/>
      <c r="CD54" s="103"/>
    </row>
    <row r="55" spans="1:82" s="93" customFormat="1" ht="14.25" customHeight="1" x14ac:dyDescent="0.2">
      <c r="B55" s="93" t="s">
        <v>159</v>
      </c>
      <c r="C55" s="101"/>
      <c r="D55" s="102"/>
      <c r="E55" s="80">
        <v>610</v>
      </c>
      <c r="F55" s="80">
        <v>1090</v>
      </c>
      <c r="G55" s="101"/>
      <c r="H55" s="102"/>
      <c r="I55" s="80">
        <v>300</v>
      </c>
      <c r="J55" s="80">
        <v>300</v>
      </c>
      <c r="K55" s="101"/>
      <c r="L55" s="102"/>
      <c r="M55" s="80"/>
      <c r="N55" s="80"/>
      <c r="O55" s="101"/>
      <c r="P55" s="102"/>
      <c r="Q55" s="80">
        <f>39.375+0.45</f>
        <v>39.825000000000003</v>
      </c>
      <c r="R55" s="80">
        <f>39.375+120</f>
        <v>159.375</v>
      </c>
      <c r="S55" s="101"/>
      <c r="T55" s="102"/>
      <c r="U55" s="80">
        <f>1705.565+18</f>
        <v>1723.5650000000001</v>
      </c>
      <c r="V55" s="80">
        <f>240.226+35</f>
        <v>275.226</v>
      </c>
      <c r="W55" s="101"/>
      <c r="X55" s="102"/>
      <c r="Y55" s="80"/>
      <c r="Z55" s="80"/>
      <c r="AA55" s="101"/>
      <c r="AB55" s="102"/>
      <c r="AC55" s="80">
        <v>957</v>
      </c>
      <c r="AD55" s="80">
        <v>989</v>
      </c>
      <c r="AE55" s="101"/>
      <c r="AF55" s="102"/>
      <c r="AG55" s="80"/>
      <c r="AH55" s="80"/>
      <c r="AI55" s="101"/>
      <c r="AJ55" s="102"/>
      <c r="AK55" s="80">
        <v>1333.5160000000001</v>
      </c>
      <c r="AL55" s="80">
        <v>2650.502</v>
      </c>
      <c r="AM55" s="101"/>
      <c r="AN55" s="102"/>
      <c r="AO55" s="80"/>
      <c r="AP55" s="80"/>
      <c r="AQ55" s="101"/>
      <c r="AR55" s="102"/>
      <c r="AS55" s="80">
        <f>40.58+225.851+20.049</f>
        <v>286.47999999999996</v>
      </c>
      <c r="AT55" s="80">
        <f>139.062</f>
        <v>139.06200000000001</v>
      </c>
      <c r="AU55" s="101"/>
      <c r="AV55" s="102"/>
      <c r="AW55" s="80">
        <v>166000</v>
      </c>
      <c r="AX55" s="80">
        <v>204000</v>
      </c>
      <c r="AY55" s="101"/>
      <c r="AZ55" s="102"/>
      <c r="BA55" s="80">
        <v>293.83999999999997</v>
      </c>
      <c r="BB55" s="80">
        <v>61.25</v>
      </c>
      <c r="BC55" s="101"/>
      <c r="BD55" s="102"/>
      <c r="BE55" s="103">
        <v>7.2539999999999996</v>
      </c>
      <c r="BF55" s="103">
        <v>79.527000000000001</v>
      </c>
      <c r="BG55" s="101"/>
      <c r="BH55" s="102"/>
      <c r="BI55" s="103">
        <f>320.83+24.12+180.732+86.042</f>
        <v>611.72400000000005</v>
      </c>
      <c r="BJ55" s="200">
        <f>-240.276-19.095+118.932+13.5</f>
        <v>-126.93899999999996</v>
      </c>
      <c r="BK55" s="101"/>
      <c r="BL55" s="102"/>
      <c r="BM55" s="103">
        <f>19+176+276</f>
        <v>471</v>
      </c>
      <c r="BN55" s="200">
        <f>16+126+292</f>
        <v>434</v>
      </c>
      <c r="BO55" s="101"/>
      <c r="BP55" s="102"/>
      <c r="BQ55" s="200"/>
      <c r="BR55" s="103"/>
      <c r="BS55" s="101"/>
      <c r="BT55" s="102"/>
      <c r="BU55" s="103"/>
      <c r="BV55" s="200"/>
      <c r="BW55" s="101"/>
      <c r="BX55" s="102"/>
      <c r="BY55" s="104">
        <v>0</v>
      </c>
      <c r="BZ55" s="104">
        <v>0</v>
      </c>
      <c r="CA55" s="101"/>
      <c r="CB55" s="102"/>
      <c r="CC55" s="103"/>
      <c r="CD55" s="200"/>
    </row>
    <row r="56" spans="1:82" s="74" customFormat="1" x14ac:dyDescent="0.2">
      <c r="B56" s="76" t="s">
        <v>160</v>
      </c>
      <c r="C56" s="72"/>
      <c r="D56" s="73"/>
      <c r="E56" s="54">
        <v>4118</v>
      </c>
      <c r="F56" s="54">
        <v>3549</v>
      </c>
      <c r="G56" s="72"/>
      <c r="H56" s="73"/>
      <c r="I56" s="54"/>
      <c r="J56" s="54"/>
      <c r="K56" s="72"/>
      <c r="L56" s="73"/>
      <c r="M56" s="56">
        <f>M34</f>
        <v>14141</v>
      </c>
      <c r="N56" s="56">
        <f>N34</f>
        <v>12009</v>
      </c>
      <c r="O56" s="72"/>
      <c r="P56" s="73"/>
      <c r="Q56" s="54">
        <v>30.367000000000001</v>
      </c>
      <c r="R56" s="54">
        <v>16.579999999999998</v>
      </c>
      <c r="S56" s="72"/>
      <c r="T56" s="73"/>
      <c r="U56" s="54"/>
      <c r="V56" s="54"/>
      <c r="W56" s="72"/>
      <c r="X56" s="73"/>
      <c r="Y56" s="104"/>
      <c r="Z56" s="54"/>
      <c r="AA56" s="72"/>
      <c r="AB56" s="73"/>
      <c r="AC56" s="104">
        <v>0</v>
      </c>
      <c r="AD56" s="54">
        <v>27</v>
      </c>
      <c r="AE56" s="72"/>
      <c r="AF56" s="73"/>
      <c r="AG56" s="104"/>
      <c r="AH56" s="54"/>
      <c r="AI56" s="72"/>
      <c r="AJ56" s="73"/>
      <c r="AK56" s="104">
        <v>170.56800000000001</v>
      </c>
      <c r="AL56" s="54">
        <v>1114.6130000000001</v>
      </c>
      <c r="AM56" s="72"/>
      <c r="AN56" s="73"/>
      <c r="AO56" s="104"/>
      <c r="AP56" s="54"/>
      <c r="AQ56" s="72"/>
      <c r="AR56" s="73"/>
      <c r="AS56" s="104"/>
      <c r="AT56" s="54"/>
      <c r="AU56" s="72"/>
      <c r="AV56" s="73"/>
      <c r="AW56" s="104">
        <v>450701</v>
      </c>
      <c r="AX56" s="54">
        <v>404933</v>
      </c>
      <c r="AY56" s="72"/>
      <c r="AZ56" s="73"/>
      <c r="BA56" s="104"/>
      <c r="BB56" s="54"/>
      <c r="BC56" s="72"/>
      <c r="BD56" s="73"/>
      <c r="BE56" s="68">
        <v>0</v>
      </c>
      <c r="BF56" s="68">
        <v>1363.1379999999999</v>
      </c>
      <c r="BG56" s="72"/>
      <c r="BH56" s="73"/>
      <c r="BI56" s="68"/>
      <c r="BJ56" s="68"/>
      <c r="BK56" s="72"/>
      <c r="BL56" s="73"/>
      <c r="BM56" s="68"/>
      <c r="BN56" s="68"/>
      <c r="BO56" s="72"/>
      <c r="BP56" s="73"/>
      <c r="BQ56" s="68"/>
      <c r="BR56" s="68"/>
      <c r="BS56" s="72"/>
      <c r="BT56" s="73"/>
      <c r="BU56" s="68"/>
      <c r="BV56" s="68"/>
      <c r="BW56" s="72"/>
      <c r="BX56" s="73"/>
      <c r="BY56" s="104">
        <v>0</v>
      </c>
      <c r="BZ56" s="104">
        <v>0</v>
      </c>
      <c r="CA56" s="72"/>
      <c r="CB56" s="73"/>
      <c r="CC56" s="68">
        <v>1363.587</v>
      </c>
      <c r="CD56" s="68">
        <v>706.45799999999997</v>
      </c>
    </row>
    <row r="57" spans="1:82" s="74" customFormat="1" ht="12.75" customHeight="1" x14ac:dyDescent="0.2">
      <c r="B57" s="70" t="s">
        <v>162</v>
      </c>
      <c r="C57" s="72"/>
      <c r="D57" s="73"/>
      <c r="E57" s="104">
        <v>488</v>
      </c>
      <c r="F57" s="104">
        <v>432</v>
      </c>
      <c r="G57" s="72"/>
      <c r="H57" s="73"/>
      <c r="I57" s="104">
        <v>638.54399999999998</v>
      </c>
      <c r="J57" s="104">
        <v>1609.229</v>
      </c>
      <c r="K57" s="72"/>
      <c r="L57" s="73"/>
      <c r="M57" s="104"/>
      <c r="N57" s="104"/>
      <c r="O57" s="72"/>
      <c r="P57" s="73"/>
      <c r="Q57" s="104">
        <v>0</v>
      </c>
      <c r="R57" s="104">
        <v>6.4119999999999999</v>
      </c>
      <c r="S57" s="72"/>
      <c r="T57" s="73"/>
      <c r="U57" s="104">
        <v>43.545000000000002</v>
      </c>
      <c r="V57" s="104">
        <v>0</v>
      </c>
      <c r="W57" s="72"/>
      <c r="X57" s="73"/>
      <c r="Y57" s="104"/>
      <c r="Z57" s="104"/>
      <c r="AA57" s="72"/>
      <c r="AB57" s="73"/>
      <c r="AC57" s="104">
        <v>0</v>
      </c>
      <c r="AD57" s="104">
        <v>112</v>
      </c>
      <c r="AE57" s="72"/>
      <c r="AF57" s="73"/>
      <c r="AG57" s="104"/>
      <c r="AH57" s="104"/>
      <c r="AI57" s="72"/>
      <c r="AJ57" s="73"/>
      <c r="AK57" s="104">
        <v>1417.204</v>
      </c>
      <c r="AL57" s="104">
        <v>0</v>
      </c>
      <c r="AM57" s="72"/>
      <c r="AN57" s="73"/>
      <c r="AO57" s="104"/>
      <c r="AP57" s="104"/>
      <c r="AQ57" s="72"/>
      <c r="AR57" s="73"/>
      <c r="AS57" s="104">
        <f>4021.14+8400</f>
        <v>12421.14</v>
      </c>
      <c r="AT57" s="104">
        <f>3861.296+350+3600</f>
        <v>7811.2960000000003</v>
      </c>
      <c r="AU57" s="72"/>
      <c r="AV57" s="73"/>
      <c r="AW57" s="104"/>
      <c r="AX57" s="104"/>
      <c r="AY57" s="72"/>
      <c r="AZ57" s="73"/>
      <c r="BA57" s="104">
        <v>58.773000000000003</v>
      </c>
      <c r="BB57" s="104">
        <v>38.529000000000003</v>
      </c>
      <c r="BC57" s="72"/>
      <c r="BD57" s="73"/>
      <c r="BE57" s="68">
        <v>1164.1600000000001</v>
      </c>
      <c r="BF57" s="68">
        <v>170.93600000000001</v>
      </c>
      <c r="BG57" s="72"/>
      <c r="BH57" s="73"/>
      <c r="BI57" s="68"/>
      <c r="BJ57" s="68"/>
      <c r="BK57" s="72"/>
      <c r="BL57" s="73"/>
      <c r="BM57" s="68">
        <v>0</v>
      </c>
      <c r="BN57" s="68">
        <v>1641</v>
      </c>
      <c r="BO57" s="72"/>
      <c r="BP57" s="73"/>
      <c r="BQ57" s="68"/>
      <c r="BR57" s="68"/>
      <c r="BS57" s="72"/>
      <c r="BT57" s="73"/>
      <c r="BU57" s="68"/>
      <c r="BV57" s="68"/>
      <c r="BW57" s="72"/>
      <c r="BX57" s="73"/>
      <c r="BY57" s="104">
        <v>0</v>
      </c>
      <c r="BZ57" s="104">
        <v>0</v>
      </c>
      <c r="CA57" s="72"/>
      <c r="CB57" s="73"/>
      <c r="CC57" s="68">
        <f>1053.454</f>
        <v>1053.454</v>
      </c>
      <c r="CD57" s="68">
        <v>35.518000000000001</v>
      </c>
    </row>
    <row r="58" spans="1:82" s="74" customFormat="1" x14ac:dyDescent="0.2">
      <c r="B58" s="76" t="s">
        <v>163</v>
      </c>
      <c r="C58" s="72"/>
      <c r="D58" s="73"/>
      <c r="E58" s="104"/>
      <c r="F58" s="104"/>
      <c r="G58" s="72"/>
      <c r="H58" s="73"/>
      <c r="I58" s="104"/>
      <c r="J58" s="104"/>
      <c r="K58" s="72"/>
      <c r="L58" s="73"/>
      <c r="M58" s="104"/>
      <c r="N58" s="104"/>
      <c r="O58" s="72"/>
      <c r="P58" s="73"/>
      <c r="Q58" s="104"/>
      <c r="R58" s="104"/>
      <c r="S58" s="72"/>
      <c r="T58" s="73"/>
      <c r="U58" s="104"/>
      <c r="V58" s="104"/>
      <c r="W58" s="72"/>
      <c r="X58" s="73"/>
      <c r="Y58" s="104"/>
      <c r="Z58" s="104"/>
      <c r="AA58" s="72"/>
      <c r="AB58" s="73"/>
      <c r="AC58" s="104">
        <v>1500</v>
      </c>
      <c r="AD58" s="104">
        <v>0</v>
      </c>
      <c r="AE58" s="72"/>
      <c r="AF58" s="73"/>
      <c r="AG58" s="104"/>
      <c r="AH58" s="104"/>
      <c r="AI58" s="72"/>
      <c r="AJ58" s="73"/>
      <c r="AK58" s="104"/>
      <c r="AL58" s="104"/>
      <c r="AM58" s="72"/>
      <c r="AN58" s="73"/>
      <c r="AO58" s="104"/>
      <c r="AP58" s="104"/>
      <c r="AQ58" s="72"/>
      <c r="AR58" s="73"/>
      <c r="AS58" s="104"/>
      <c r="AT58" s="104"/>
      <c r="AU58" s="72"/>
      <c r="AV58" s="73"/>
      <c r="AW58" s="104"/>
      <c r="AX58" s="104"/>
      <c r="AY58" s="72"/>
      <c r="AZ58" s="73"/>
      <c r="BA58" s="104"/>
      <c r="BB58" s="104"/>
      <c r="BC58" s="72"/>
      <c r="BD58" s="73"/>
      <c r="BE58" s="104"/>
      <c r="BF58" s="104"/>
      <c r="BG58" s="72"/>
      <c r="BH58" s="73"/>
      <c r="BI58" s="104"/>
      <c r="BJ58" s="104"/>
      <c r="BK58" s="72"/>
      <c r="BL58" s="73"/>
      <c r="BM58" s="104"/>
      <c r="BN58" s="104"/>
      <c r="BO58" s="72"/>
      <c r="BP58" s="73"/>
      <c r="BQ58" s="104"/>
      <c r="BR58" s="104"/>
      <c r="BS58" s="72"/>
      <c r="BT58" s="73"/>
      <c r="BU58" s="104"/>
      <c r="BV58" s="104"/>
      <c r="BW58" s="72"/>
      <c r="BX58" s="73"/>
      <c r="BY58" s="104">
        <v>0</v>
      </c>
      <c r="BZ58" s="104">
        <v>0</v>
      </c>
      <c r="CA58" s="72"/>
      <c r="CB58" s="73"/>
      <c r="CC58" s="104"/>
      <c r="CD58" s="104"/>
    </row>
    <row r="59" spans="1:82" s="74" customFormat="1" ht="12.75" customHeight="1" x14ac:dyDescent="0.2">
      <c r="B59" s="5"/>
      <c r="C59" s="72"/>
      <c r="D59" s="73"/>
      <c r="E59" s="111"/>
      <c r="F59" s="111"/>
      <c r="G59" s="72"/>
      <c r="H59" s="73"/>
      <c r="I59" s="111"/>
      <c r="J59" s="111"/>
      <c r="K59" s="72"/>
      <c r="L59" s="73"/>
      <c r="M59" s="111"/>
      <c r="N59" s="111"/>
      <c r="O59" s="72"/>
      <c r="P59" s="73"/>
      <c r="Q59" s="111"/>
      <c r="R59" s="111"/>
      <c r="S59" s="72"/>
      <c r="T59" s="73"/>
      <c r="U59" s="111"/>
      <c r="V59" s="111"/>
      <c r="W59" s="72"/>
      <c r="X59" s="73"/>
      <c r="Y59" s="111"/>
      <c r="Z59" s="111"/>
      <c r="AA59" s="72"/>
      <c r="AB59" s="73"/>
      <c r="AC59" s="111"/>
      <c r="AD59" s="111"/>
      <c r="AE59" s="72"/>
      <c r="AF59" s="73"/>
      <c r="AG59" s="111"/>
      <c r="AH59" s="111"/>
      <c r="AI59" s="72"/>
      <c r="AJ59" s="73"/>
      <c r="AK59" s="111"/>
      <c r="AL59" s="111"/>
      <c r="AM59" s="72"/>
      <c r="AN59" s="73"/>
      <c r="AO59" s="111"/>
      <c r="AP59" s="111"/>
      <c r="AQ59" s="72"/>
      <c r="AR59" s="73"/>
      <c r="AS59" s="111"/>
      <c r="AT59" s="111"/>
      <c r="AU59" s="72"/>
      <c r="AV59" s="73"/>
      <c r="AW59" s="111"/>
      <c r="AX59" s="111"/>
      <c r="AY59" s="72"/>
      <c r="AZ59" s="73"/>
      <c r="BA59" s="111"/>
      <c r="BB59" s="111"/>
      <c r="BC59" s="72"/>
      <c r="BD59" s="73"/>
      <c r="BE59" s="111"/>
      <c r="BF59" s="111"/>
      <c r="BG59" s="72"/>
      <c r="BH59" s="73"/>
      <c r="BI59" s="111"/>
      <c r="BJ59" s="111"/>
      <c r="BK59" s="72"/>
      <c r="BL59" s="73"/>
      <c r="BM59" s="111"/>
      <c r="BN59" s="111"/>
      <c r="BO59" s="72"/>
      <c r="BP59" s="73"/>
      <c r="BQ59" s="111"/>
      <c r="BR59" s="111"/>
      <c r="BS59" s="72"/>
      <c r="BT59" s="73"/>
      <c r="BU59" s="111"/>
      <c r="BV59" s="111"/>
      <c r="BW59" s="72"/>
      <c r="BX59" s="73"/>
      <c r="BY59" s="111"/>
      <c r="BZ59" s="111"/>
      <c r="CA59" s="72"/>
      <c r="CB59" s="73"/>
      <c r="CC59" s="111"/>
      <c r="CD59" s="111"/>
    </row>
    <row r="60" spans="1:82" ht="12.75" customHeight="1" x14ac:dyDescent="0.2">
      <c r="A60" s="115" t="s">
        <v>164</v>
      </c>
      <c r="B60" s="116"/>
      <c r="E60" s="111"/>
      <c r="F60" s="111"/>
      <c r="I60" s="111"/>
      <c r="J60" s="111"/>
      <c r="M60" s="111"/>
      <c r="N60" s="111"/>
      <c r="Q60" s="111"/>
      <c r="R60" s="111"/>
      <c r="U60" s="111"/>
      <c r="V60" s="111"/>
      <c r="Y60" s="111"/>
      <c r="Z60" s="111"/>
      <c r="AC60" s="111"/>
      <c r="AD60" s="111"/>
      <c r="AG60" s="111"/>
      <c r="AH60" s="111"/>
      <c r="AK60" s="111"/>
      <c r="AL60" s="111"/>
      <c r="AO60" s="111"/>
      <c r="AP60" s="111"/>
      <c r="AS60" s="111"/>
      <c r="AT60" s="111"/>
      <c r="AW60" s="111"/>
      <c r="AX60" s="111"/>
      <c r="BA60" s="111"/>
      <c r="BB60" s="111"/>
      <c r="BE60" s="111"/>
      <c r="BF60" s="111"/>
      <c r="BI60" s="111"/>
      <c r="BJ60" s="111"/>
      <c r="BM60" s="111"/>
      <c r="BN60" s="111"/>
      <c r="BQ60" s="111"/>
      <c r="BR60" s="111"/>
      <c r="BU60" s="111"/>
      <c r="BV60" s="111"/>
      <c r="BY60" s="111"/>
      <c r="BZ60" s="111"/>
      <c r="CC60" s="111"/>
      <c r="CD60" s="111"/>
    </row>
    <row r="61" spans="1:82" x14ac:dyDescent="0.2">
      <c r="A61" s="75"/>
      <c r="B61" s="116"/>
      <c r="E61" s="111"/>
      <c r="F61" s="111"/>
      <c r="I61" s="111"/>
      <c r="J61" s="111"/>
      <c r="M61" s="111"/>
      <c r="N61" s="111"/>
      <c r="Q61" s="111"/>
      <c r="R61" s="111"/>
      <c r="U61" s="111"/>
      <c r="V61" s="111"/>
      <c r="Y61" s="111"/>
      <c r="Z61" s="111"/>
      <c r="AC61" s="111"/>
      <c r="AD61" s="111"/>
      <c r="AG61" s="111"/>
      <c r="AH61" s="111"/>
      <c r="AK61" s="111"/>
      <c r="AL61" s="111"/>
      <c r="AO61" s="111"/>
      <c r="AP61" s="111"/>
      <c r="AS61" s="111"/>
      <c r="AT61" s="111"/>
      <c r="AW61" s="111"/>
      <c r="AX61" s="111"/>
      <c r="BA61" s="111"/>
      <c r="BB61" s="111"/>
      <c r="BE61" s="111"/>
      <c r="BF61" s="111"/>
      <c r="BI61" s="111"/>
      <c r="BJ61" s="111"/>
      <c r="BM61" s="111"/>
      <c r="BN61" s="111"/>
      <c r="BQ61" s="111"/>
      <c r="BR61" s="111"/>
      <c r="BU61" s="111"/>
      <c r="BV61" s="111"/>
      <c r="BY61" s="111"/>
      <c r="BZ61" s="111"/>
      <c r="CC61" s="111"/>
      <c r="CD61" s="111"/>
    </row>
    <row r="62" spans="1:82" ht="5.25" customHeight="1" x14ac:dyDescent="0.2">
      <c r="B62" s="116"/>
      <c r="E62" s="111"/>
      <c r="F62" s="111"/>
      <c r="I62" s="111"/>
      <c r="J62" s="111"/>
      <c r="M62" s="111"/>
      <c r="N62" s="111"/>
      <c r="Q62" s="111"/>
      <c r="R62" s="111"/>
      <c r="U62" s="111"/>
      <c r="V62" s="111"/>
      <c r="Y62" s="111"/>
      <c r="Z62" s="111"/>
      <c r="AC62" s="111"/>
      <c r="AD62" s="111"/>
      <c r="AG62" s="111"/>
      <c r="AH62" s="111"/>
      <c r="AK62" s="111"/>
      <c r="AL62" s="111"/>
      <c r="AO62" s="111"/>
      <c r="AP62" s="111"/>
      <c r="AS62" s="111"/>
      <c r="AT62" s="111"/>
      <c r="AW62" s="111"/>
      <c r="AX62" s="111"/>
      <c r="BA62" s="111"/>
      <c r="BB62" s="111"/>
      <c r="BE62" s="111"/>
      <c r="BF62" s="111"/>
      <c r="BI62" s="111"/>
      <c r="BJ62" s="111"/>
      <c r="BM62" s="111"/>
      <c r="BN62" s="111"/>
      <c r="BQ62" s="111"/>
      <c r="BR62" s="111"/>
      <c r="BU62" s="111"/>
      <c r="BV62" s="111"/>
      <c r="BY62" s="111"/>
      <c r="BZ62" s="111"/>
      <c r="CC62" s="111"/>
      <c r="CD62" s="111"/>
    </row>
    <row r="63" spans="1:82" x14ac:dyDescent="0.2">
      <c r="B63" s="13" t="s">
        <v>165</v>
      </c>
    </row>
    <row r="64" spans="1:82" x14ac:dyDescent="0.2">
      <c r="A64" s="4"/>
      <c r="B64" s="116" t="s">
        <v>166</v>
      </c>
      <c r="E64" s="111">
        <v>0</v>
      </c>
      <c r="F64" s="111">
        <v>0</v>
      </c>
      <c r="I64" s="111">
        <v>6</v>
      </c>
      <c r="J64" s="111">
        <v>6</v>
      </c>
      <c r="M64" s="111"/>
      <c r="N64" s="111"/>
      <c r="Q64" s="111">
        <v>11</v>
      </c>
      <c r="R64" s="111">
        <v>15</v>
      </c>
      <c r="U64" s="111" t="s">
        <v>343</v>
      </c>
      <c r="V64" s="111" t="s">
        <v>344</v>
      </c>
      <c r="Y64" s="111"/>
      <c r="Z64" s="111"/>
      <c r="AC64" s="111">
        <v>3</v>
      </c>
      <c r="AD64" s="111">
        <v>3</v>
      </c>
      <c r="AG64" s="111"/>
      <c r="AH64" s="111"/>
      <c r="AK64" s="111">
        <v>0</v>
      </c>
      <c r="AL64" s="111">
        <v>0</v>
      </c>
      <c r="AO64" s="111">
        <v>13</v>
      </c>
      <c r="AP64" s="111">
        <v>14</v>
      </c>
      <c r="AS64" s="111">
        <v>0</v>
      </c>
      <c r="AT64" s="111">
        <v>0</v>
      </c>
      <c r="AW64" s="111">
        <v>2</v>
      </c>
      <c r="AX64" s="111">
        <v>1</v>
      </c>
      <c r="BA64" s="111">
        <v>4</v>
      </c>
      <c r="BB64" s="111"/>
      <c r="BE64" s="111">
        <v>1</v>
      </c>
      <c r="BF64" s="111">
        <v>2</v>
      </c>
      <c r="BI64" s="111">
        <v>0</v>
      </c>
      <c r="BJ64" s="111">
        <v>0</v>
      </c>
      <c r="BM64" s="111">
        <v>10</v>
      </c>
      <c r="BN64" s="111">
        <v>11</v>
      </c>
      <c r="BQ64" s="111"/>
      <c r="BR64" s="111"/>
      <c r="BU64" s="111"/>
      <c r="BV64" s="111"/>
      <c r="BY64" s="111"/>
      <c r="BZ64" s="111"/>
      <c r="CC64" s="111">
        <v>4</v>
      </c>
      <c r="CD64" s="111">
        <v>0</v>
      </c>
    </row>
    <row r="65" spans="1:82" ht="14.25" customHeight="1" x14ac:dyDescent="0.2">
      <c r="B65" s="116" t="s">
        <v>169</v>
      </c>
      <c r="E65" s="13">
        <v>0</v>
      </c>
      <c r="F65" s="13">
        <v>0</v>
      </c>
      <c r="I65" s="13">
        <v>20</v>
      </c>
      <c r="J65" s="13">
        <v>31</v>
      </c>
      <c r="M65" s="13"/>
      <c r="N65" s="13"/>
      <c r="Q65" s="13">
        <v>6</v>
      </c>
      <c r="R65" s="13">
        <v>4</v>
      </c>
      <c r="U65" s="13">
        <v>36</v>
      </c>
      <c r="V65" s="13">
        <v>8</v>
      </c>
      <c r="Y65" s="13"/>
      <c r="Z65" s="13"/>
      <c r="AC65" s="13" t="s">
        <v>343</v>
      </c>
      <c r="AD65" s="13" t="s">
        <v>343</v>
      </c>
      <c r="AG65" s="13"/>
      <c r="AH65" s="13"/>
      <c r="AK65" s="111">
        <v>0</v>
      </c>
      <c r="AL65" s="111">
        <v>0</v>
      </c>
      <c r="AO65" s="111">
        <v>3</v>
      </c>
      <c r="AP65" s="111">
        <v>6</v>
      </c>
      <c r="AS65" s="111">
        <v>4</v>
      </c>
      <c r="AT65" s="111">
        <v>2</v>
      </c>
      <c r="AW65" s="111">
        <v>2</v>
      </c>
      <c r="AX65" s="111">
        <v>2</v>
      </c>
      <c r="BA65" s="111">
        <v>5</v>
      </c>
      <c r="BB65" s="111"/>
      <c r="BE65" s="111">
        <v>8</v>
      </c>
      <c r="BF65" s="111">
        <v>9</v>
      </c>
      <c r="BI65" s="111">
        <v>0</v>
      </c>
      <c r="BJ65" s="111">
        <v>0</v>
      </c>
      <c r="BM65" s="111">
        <v>5</v>
      </c>
      <c r="BN65" s="111">
        <v>5</v>
      </c>
      <c r="BQ65" s="111"/>
      <c r="BR65" s="111"/>
      <c r="BU65" s="111"/>
      <c r="BV65" s="111"/>
      <c r="BY65" s="111"/>
      <c r="BZ65" s="111"/>
      <c r="CC65" s="111">
        <v>3</v>
      </c>
      <c r="CD65" s="111">
        <v>5</v>
      </c>
    </row>
    <row r="66" spans="1:82" s="74" customFormat="1" ht="14.25" customHeight="1" x14ac:dyDescent="0.2">
      <c r="B66" s="116"/>
      <c r="C66" s="72"/>
      <c r="D66" s="73"/>
      <c r="E66" s="120"/>
      <c r="F66" s="120"/>
      <c r="G66" s="72"/>
      <c r="H66" s="73"/>
      <c r="I66" s="120"/>
      <c r="J66" s="120"/>
      <c r="K66" s="72"/>
      <c r="L66" s="73"/>
      <c r="M66" s="120"/>
      <c r="N66" s="120"/>
      <c r="O66" s="72"/>
      <c r="P66" s="73"/>
      <c r="Q66" s="120"/>
      <c r="R66" s="120"/>
      <c r="S66" s="72"/>
      <c r="T66" s="73"/>
      <c r="U66" s="120"/>
      <c r="V66" s="120"/>
      <c r="W66" s="72"/>
      <c r="X66" s="73"/>
      <c r="Y66" s="120"/>
      <c r="Z66" s="120"/>
      <c r="AA66" s="72"/>
      <c r="AB66" s="73"/>
      <c r="AC66" s="120"/>
      <c r="AD66" s="120"/>
      <c r="AE66" s="72"/>
      <c r="AF66" s="73"/>
      <c r="AG66" s="120"/>
      <c r="AH66" s="120"/>
      <c r="AI66" s="72"/>
      <c r="AJ66" s="73"/>
      <c r="AK66" s="120"/>
      <c r="AL66" s="120"/>
      <c r="AM66" s="72"/>
      <c r="AN66" s="73"/>
      <c r="AO66" s="120"/>
      <c r="AP66" s="120"/>
      <c r="AQ66" s="72"/>
      <c r="AR66" s="73"/>
      <c r="AS66" s="120"/>
      <c r="AT66" s="120"/>
      <c r="AU66" s="72"/>
      <c r="AV66" s="73"/>
      <c r="AW66" s="120"/>
      <c r="AX66" s="120"/>
      <c r="AY66" s="72"/>
      <c r="AZ66" s="73"/>
      <c r="BA66" s="120"/>
      <c r="BB66" s="120"/>
      <c r="BC66" s="72"/>
      <c r="BD66" s="73"/>
      <c r="BE66" s="120"/>
      <c r="BF66" s="120"/>
      <c r="BG66" s="72"/>
      <c r="BH66" s="73"/>
      <c r="BI66" s="120"/>
      <c r="BJ66" s="120"/>
      <c r="BK66" s="72"/>
      <c r="BL66" s="73"/>
      <c r="BM66" s="120"/>
      <c r="BN66" s="120"/>
      <c r="BO66" s="72"/>
      <c r="BP66" s="73"/>
      <c r="BQ66" s="120"/>
      <c r="BR66" s="120"/>
      <c r="BS66" s="72"/>
      <c r="BT66" s="73"/>
      <c r="BU66" s="120"/>
      <c r="BV66" s="120"/>
      <c r="BW66" s="72"/>
      <c r="BX66" s="73"/>
      <c r="BY66" s="120"/>
      <c r="BZ66" s="120"/>
      <c r="CA66" s="72"/>
      <c r="CB66" s="73"/>
      <c r="CC66" s="120"/>
      <c r="CD66" s="120"/>
    </row>
    <row r="67" spans="1:82" s="74" customFormat="1" ht="14.25" customHeight="1" x14ac:dyDescent="0.2">
      <c r="A67" s="121" t="s">
        <v>170</v>
      </c>
      <c r="C67" s="72"/>
      <c r="D67" s="73"/>
      <c r="E67" s="120"/>
      <c r="F67" s="120"/>
      <c r="G67" s="72"/>
      <c r="H67" s="73"/>
      <c r="I67" s="120"/>
      <c r="J67" s="120"/>
      <c r="K67" s="72"/>
      <c r="L67" s="73"/>
      <c r="M67" s="120"/>
      <c r="N67" s="120"/>
      <c r="O67" s="72"/>
      <c r="P67" s="73"/>
      <c r="Q67" s="120"/>
      <c r="R67" s="120"/>
      <c r="S67" s="72"/>
      <c r="T67" s="73"/>
      <c r="U67" s="120"/>
      <c r="V67" s="120"/>
      <c r="W67" s="72"/>
      <c r="X67" s="73"/>
      <c r="Y67" s="120"/>
      <c r="Z67" s="120"/>
      <c r="AA67" s="72"/>
      <c r="AB67" s="73"/>
      <c r="AC67" s="120"/>
      <c r="AD67" s="120"/>
      <c r="AE67" s="72"/>
      <c r="AF67" s="73"/>
      <c r="AG67" s="120"/>
      <c r="AH67" s="120"/>
      <c r="AI67" s="72"/>
      <c r="AJ67" s="73"/>
      <c r="AK67" s="120"/>
      <c r="AL67" s="120"/>
      <c r="AM67" s="72"/>
      <c r="AN67" s="73"/>
      <c r="AO67" s="120"/>
      <c r="AP67" s="120"/>
      <c r="AQ67" s="72"/>
      <c r="AR67" s="73"/>
      <c r="AS67" s="120"/>
      <c r="AT67" s="120"/>
      <c r="AU67" s="72"/>
      <c r="AV67" s="73"/>
      <c r="AW67" s="120"/>
      <c r="AX67" s="120"/>
      <c r="AY67" s="72"/>
      <c r="AZ67" s="73"/>
      <c r="BA67" s="120"/>
      <c r="BB67" s="120"/>
      <c r="BC67" s="72"/>
      <c r="BD67" s="73"/>
      <c r="BE67" s="120"/>
      <c r="BF67" s="120"/>
      <c r="BG67" s="72"/>
      <c r="BH67" s="73"/>
      <c r="BI67" s="120"/>
      <c r="BJ67" s="120"/>
      <c r="BK67" s="72"/>
      <c r="BL67" s="73"/>
      <c r="BM67" s="120"/>
      <c r="BN67" s="120"/>
      <c r="BO67" s="72"/>
      <c r="BP67" s="73"/>
      <c r="BQ67" s="120"/>
      <c r="BR67" s="120"/>
      <c r="BS67" s="72"/>
      <c r="BT67" s="73"/>
      <c r="BU67" s="120"/>
      <c r="BV67" s="120"/>
      <c r="BW67" s="72"/>
      <c r="BX67" s="73"/>
      <c r="BY67" s="120"/>
      <c r="BZ67" s="120"/>
      <c r="CA67" s="72"/>
      <c r="CB67" s="73"/>
      <c r="CC67" s="120"/>
      <c r="CD67" s="120"/>
    </row>
    <row r="68" spans="1:82" s="122" customFormat="1" x14ac:dyDescent="0.2">
      <c r="B68" s="122" t="s">
        <v>171</v>
      </c>
      <c r="C68" s="123"/>
      <c r="D68" s="124"/>
      <c r="E68" s="35" t="s">
        <v>345</v>
      </c>
      <c r="F68" s="35"/>
      <c r="G68" s="123"/>
      <c r="H68" s="124"/>
      <c r="I68" s="35" t="s">
        <v>346</v>
      </c>
      <c r="J68" s="35"/>
      <c r="K68" s="123"/>
      <c r="L68" s="124"/>
      <c r="M68" s="35" t="s">
        <v>347</v>
      </c>
      <c r="N68" s="35"/>
      <c r="O68" s="123"/>
      <c r="P68" s="124"/>
      <c r="Q68" s="35" t="s">
        <v>348</v>
      </c>
      <c r="R68" s="35"/>
      <c r="S68" s="123"/>
      <c r="T68" s="124"/>
      <c r="U68" s="35" t="s">
        <v>349</v>
      </c>
      <c r="V68" s="35"/>
      <c r="W68" s="123"/>
      <c r="X68" s="124"/>
      <c r="Y68" s="35"/>
      <c r="Z68" s="35"/>
      <c r="AA68" s="123"/>
      <c r="AB68" s="124"/>
      <c r="AC68" s="35" t="s">
        <v>350</v>
      </c>
      <c r="AD68" s="35"/>
      <c r="AE68" s="123"/>
      <c r="AF68" s="124"/>
      <c r="AG68" s="35" t="s">
        <v>351</v>
      </c>
      <c r="AH68" s="35"/>
      <c r="AI68" s="123"/>
      <c r="AJ68" s="124"/>
      <c r="AK68" s="35" t="s">
        <v>352</v>
      </c>
      <c r="AL68" s="35"/>
      <c r="AM68" s="123"/>
      <c r="AN68" s="124"/>
      <c r="AO68" s="35" t="s">
        <v>353</v>
      </c>
      <c r="AP68" s="35"/>
      <c r="AQ68" s="123"/>
      <c r="AR68" s="124"/>
      <c r="AS68" s="35" t="s">
        <v>354</v>
      </c>
      <c r="AT68" s="35"/>
      <c r="AU68" s="123"/>
      <c r="AV68" s="124"/>
      <c r="AW68" s="35" t="s">
        <v>355</v>
      </c>
      <c r="AX68" s="35"/>
      <c r="AY68" s="123"/>
      <c r="AZ68" s="124"/>
      <c r="BA68" s="35" t="s">
        <v>356</v>
      </c>
      <c r="BB68" s="35"/>
      <c r="BC68" s="123"/>
      <c r="BD68" s="124"/>
      <c r="BE68" s="35" t="s">
        <v>357</v>
      </c>
      <c r="BF68" s="35"/>
      <c r="BG68" s="123"/>
      <c r="BH68" s="124"/>
      <c r="BI68" s="35" t="s">
        <v>358</v>
      </c>
      <c r="BJ68" s="35"/>
      <c r="BK68" s="123"/>
      <c r="BL68" s="124"/>
      <c r="BM68" s="35" t="s">
        <v>359</v>
      </c>
      <c r="BN68" s="35"/>
      <c r="BO68" s="123"/>
      <c r="BP68" s="124"/>
      <c r="BQ68" s="35" t="s">
        <v>360</v>
      </c>
      <c r="BR68" s="35"/>
      <c r="BS68" s="123"/>
      <c r="BT68" s="124"/>
      <c r="BU68" s="35" t="s">
        <v>189</v>
      </c>
      <c r="BV68" s="35"/>
      <c r="BW68" s="123"/>
      <c r="BX68" s="124"/>
      <c r="BY68" s="35" t="s">
        <v>361</v>
      </c>
      <c r="BZ68" s="35"/>
      <c r="CA68" s="123"/>
      <c r="CB68" s="124"/>
      <c r="CC68" s="35" t="s">
        <v>362</v>
      </c>
      <c r="CD68" s="35"/>
    </row>
    <row r="69" spans="1:82" s="85" customFormat="1" x14ac:dyDescent="0.2">
      <c r="C69" s="91"/>
      <c r="D69" s="92"/>
      <c r="E69" s="127"/>
      <c r="G69" s="91"/>
      <c r="H69" s="92"/>
      <c r="I69" s="127"/>
      <c r="K69" s="91"/>
      <c r="L69" s="92"/>
      <c r="M69" s="127"/>
      <c r="O69" s="91"/>
      <c r="P69" s="92"/>
      <c r="Q69" s="127"/>
      <c r="S69" s="91"/>
      <c r="T69" s="92"/>
      <c r="U69" s="127"/>
      <c r="W69" s="91"/>
      <c r="X69" s="92"/>
      <c r="Y69" s="127"/>
      <c r="AA69" s="91"/>
      <c r="AB69" s="92"/>
      <c r="AC69" s="127">
        <v>0.42</v>
      </c>
      <c r="AE69" s="91"/>
      <c r="AF69" s="92"/>
      <c r="AG69" s="127"/>
      <c r="AI69" s="91"/>
      <c r="AJ69" s="92"/>
      <c r="AK69" s="127"/>
      <c r="AM69" s="91"/>
      <c r="AN69" s="92"/>
      <c r="AO69" s="127"/>
      <c r="AQ69" s="91"/>
      <c r="AR69" s="92"/>
      <c r="AS69" s="127"/>
      <c r="AU69" s="91"/>
      <c r="AV69" s="92"/>
      <c r="AW69" s="127"/>
      <c r="AY69" s="91"/>
      <c r="AZ69" s="92"/>
      <c r="BA69" s="127"/>
      <c r="BC69" s="91"/>
      <c r="BD69" s="92"/>
      <c r="BE69" s="127"/>
      <c r="BG69" s="91"/>
      <c r="BH69" s="92"/>
      <c r="BI69" s="127"/>
      <c r="BK69" s="91"/>
      <c r="BL69" s="92"/>
      <c r="BM69" s="127"/>
      <c r="BO69" s="91"/>
      <c r="BP69" s="92"/>
      <c r="BR69" s="127"/>
      <c r="BS69" s="91"/>
      <c r="BT69" s="92"/>
      <c r="BU69" s="127"/>
      <c r="BW69" s="91"/>
      <c r="BX69" s="92"/>
      <c r="BY69" s="127">
        <v>0.6</v>
      </c>
      <c r="CA69" s="91"/>
      <c r="CB69" s="92"/>
      <c r="CC69" s="127"/>
    </row>
    <row r="70" spans="1:82" s="122" customFormat="1" x14ac:dyDescent="0.2">
      <c r="B70" s="122" t="s">
        <v>217</v>
      </c>
      <c r="C70" s="123"/>
      <c r="D70" s="124"/>
      <c r="E70" s="35"/>
      <c r="F70" s="35"/>
      <c r="G70" s="123"/>
      <c r="H70" s="124"/>
      <c r="I70" s="35" t="s">
        <v>363</v>
      </c>
      <c r="J70" s="35"/>
      <c r="K70" s="123"/>
      <c r="L70" s="124"/>
      <c r="M70" s="35"/>
      <c r="N70" s="35"/>
      <c r="O70" s="123"/>
      <c r="P70" s="124"/>
      <c r="Q70" s="35" t="s">
        <v>364</v>
      </c>
      <c r="R70" s="35"/>
      <c r="S70" s="123"/>
      <c r="T70" s="124"/>
      <c r="U70" s="35" t="s">
        <v>365</v>
      </c>
      <c r="V70" s="35"/>
      <c r="W70" s="123"/>
      <c r="X70" s="124"/>
      <c r="Y70" s="35"/>
      <c r="Z70" s="35"/>
      <c r="AA70" s="123"/>
      <c r="AB70" s="124"/>
      <c r="AC70" s="35" t="s">
        <v>186</v>
      </c>
      <c r="AD70" s="35"/>
      <c r="AE70" s="123"/>
      <c r="AF70" s="124"/>
      <c r="AG70" s="35"/>
      <c r="AH70" s="35"/>
      <c r="AI70" s="123"/>
      <c r="AJ70" s="124"/>
      <c r="AK70" s="35"/>
      <c r="AL70" s="35"/>
      <c r="AM70" s="123"/>
      <c r="AN70" s="124"/>
      <c r="AO70" s="35"/>
      <c r="AP70" s="35"/>
      <c r="AQ70" s="123"/>
      <c r="AR70" s="124"/>
      <c r="AS70" s="35"/>
      <c r="AT70" s="35"/>
      <c r="AU70" s="123"/>
      <c r="AV70" s="124"/>
      <c r="AW70" s="35"/>
      <c r="AX70" s="35"/>
      <c r="AY70" s="123"/>
      <c r="AZ70" s="124"/>
      <c r="BA70" s="35"/>
      <c r="BB70" s="35"/>
      <c r="BC70" s="123"/>
      <c r="BD70" s="124"/>
      <c r="BE70" s="35"/>
      <c r="BF70" s="35"/>
      <c r="BG70" s="123"/>
      <c r="BH70" s="124"/>
      <c r="BI70" s="35"/>
      <c r="BJ70" s="35"/>
      <c r="BK70" s="123"/>
      <c r="BL70" s="124"/>
      <c r="BM70" s="35" t="s">
        <v>228</v>
      </c>
      <c r="BN70" s="35"/>
      <c r="BO70" s="123"/>
      <c r="BP70" s="124"/>
      <c r="BQ70" s="35"/>
      <c r="BR70" s="35"/>
      <c r="BS70" s="123"/>
      <c r="BT70" s="124"/>
      <c r="BU70" s="35"/>
      <c r="BV70" s="35"/>
      <c r="BW70" s="123"/>
      <c r="BX70" s="124"/>
      <c r="BY70" s="35" t="s">
        <v>366</v>
      </c>
      <c r="BZ70" s="35"/>
      <c r="CA70" s="123"/>
      <c r="CB70" s="124"/>
      <c r="CC70" s="35"/>
      <c r="CD70" s="35"/>
    </row>
    <row r="71" spans="1:82" s="85" customFormat="1" ht="14.25" customHeight="1" x14ac:dyDescent="0.2">
      <c r="C71" s="91"/>
      <c r="D71" s="92"/>
      <c r="E71" s="130"/>
      <c r="G71" s="91"/>
      <c r="H71" s="92"/>
      <c r="I71" s="130"/>
      <c r="K71" s="91"/>
      <c r="L71" s="92"/>
      <c r="M71" s="130"/>
      <c r="O71" s="91"/>
      <c r="P71" s="92"/>
      <c r="Q71" s="130"/>
      <c r="S71" s="91"/>
      <c r="T71" s="92"/>
      <c r="U71" s="130"/>
      <c r="W71" s="91"/>
      <c r="X71" s="92"/>
      <c r="Y71" s="130"/>
      <c r="AA71" s="91"/>
      <c r="AB71" s="92"/>
      <c r="AC71" s="130">
        <v>0.214</v>
      </c>
      <c r="AE71" s="91"/>
      <c r="AF71" s="92"/>
      <c r="AG71" s="130"/>
      <c r="AI71" s="91"/>
      <c r="AJ71" s="92"/>
      <c r="AK71" s="130"/>
      <c r="AM71" s="91"/>
      <c r="AN71" s="92"/>
      <c r="AO71" s="130"/>
      <c r="AQ71" s="91"/>
      <c r="AR71" s="92"/>
      <c r="AS71" s="130"/>
      <c r="AU71" s="91"/>
      <c r="AV71" s="92"/>
      <c r="AW71" s="130"/>
      <c r="AY71" s="91"/>
      <c r="AZ71" s="92"/>
      <c r="BA71" s="130"/>
      <c r="BC71" s="91"/>
      <c r="BD71" s="92"/>
      <c r="BE71" s="130" t="s">
        <v>367</v>
      </c>
      <c r="BG71" s="91"/>
      <c r="BH71" s="92"/>
      <c r="BI71" s="130"/>
      <c r="BK71" s="91"/>
      <c r="BL71" s="92"/>
      <c r="BM71" s="130"/>
      <c r="BO71" s="91"/>
      <c r="BP71" s="92"/>
      <c r="BR71" s="130"/>
      <c r="BS71" s="91"/>
      <c r="BT71" s="92"/>
      <c r="BU71" s="130"/>
      <c r="BW71" s="91"/>
      <c r="BX71" s="92"/>
      <c r="BY71" s="130">
        <v>0.11</v>
      </c>
      <c r="CA71" s="91"/>
      <c r="CB71" s="92"/>
      <c r="CC71" s="130"/>
    </row>
    <row r="72" spans="1:82" s="93" customFormat="1" ht="14.25" customHeight="1" x14ac:dyDescent="0.2">
      <c r="B72" s="93" t="s">
        <v>233</v>
      </c>
      <c r="C72" s="101"/>
      <c r="D72" s="102"/>
      <c r="E72" s="93" t="s">
        <v>237</v>
      </c>
      <c r="G72" s="101"/>
      <c r="H72" s="102"/>
      <c r="I72" s="93" t="s">
        <v>239</v>
      </c>
      <c r="K72" s="101"/>
      <c r="L72" s="102"/>
      <c r="O72" s="101"/>
      <c r="P72" s="102"/>
      <c r="S72" s="101"/>
      <c r="T72" s="102"/>
      <c r="U72" s="93" t="s">
        <v>237</v>
      </c>
      <c r="W72" s="101"/>
      <c r="X72" s="102"/>
      <c r="AA72" s="101"/>
      <c r="AB72" s="102"/>
      <c r="AC72" s="93" t="s">
        <v>237</v>
      </c>
      <c r="AE72" s="101"/>
      <c r="AF72" s="102"/>
      <c r="AG72" s="93" t="s">
        <v>368</v>
      </c>
      <c r="AI72" s="101"/>
      <c r="AJ72" s="102"/>
      <c r="AM72" s="101"/>
      <c r="AN72" s="102"/>
      <c r="AO72" s="93" t="s">
        <v>239</v>
      </c>
      <c r="AQ72" s="101"/>
      <c r="AR72" s="102"/>
      <c r="AS72" s="93" t="s">
        <v>237</v>
      </c>
      <c r="AU72" s="101"/>
      <c r="AV72" s="102"/>
      <c r="AY72" s="101"/>
      <c r="AZ72" s="102"/>
      <c r="BC72" s="101"/>
      <c r="BD72" s="102"/>
      <c r="BG72" s="101"/>
      <c r="BH72" s="102"/>
      <c r="BK72" s="101"/>
      <c r="BL72" s="102"/>
      <c r="BO72" s="101"/>
      <c r="BP72" s="102"/>
      <c r="BS72" s="101"/>
      <c r="BT72" s="102"/>
      <c r="BW72" s="101"/>
      <c r="BX72" s="102"/>
      <c r="BY72" s="93" t="s">
        <v>237</v>
      </c>
      <c r="CA72" s="101"/>
      <c r="CB72" s="102"/>
    </row>
    <row r="73" spans="1:82" s="85" customFormat="1" ht="14.25" customHeight="1" x14ac:dyDescent="0.2">
      <c r="C73" s="91"/>
      <c r="D73" s="92"/>
      <c r="G73" s="91"/>
      <c r="H73" s="92"/>
      <c r="K73" s="91"/>
      <c r="L73" s="92"/>
      <c r="O73" s="91"/>
      <c r="P73" s="92"/>
      <c r="S73" s="91"/>
      <c r="T73" s="92"/>
      <c r="W73" s="91"/>
      <c r="X73" s="92"/>
      <c r="AA73" s="91"/>
      <c r="AB73" s="92"/>
      <c r="AE73" s="91"/>
      <c r="AF73" s="92"/>
      <c r="AI73" s="91"/>
      <c r="AJ73" s="92"/>
      <c r="AM73" s="91"/>
      <c r="AN73" s="92"/>
      <c r="AQ73" s="91"/>
      <c r="AR73" s="92"/>
      <c r="AU73" s="91"/>
      <c r="AV73" s="92"/>
      <c r="AY73" s="91"/>
      <c r="AZ73" s="92"/>
      <c r="BC73" s="91"/>
      <c r="BD73" s="92"/>
      <c r="BG73" s="91"/>
      <c r="BH73" s="92"/>
      <c r="BK73" s="91"/>
      <c r="BL73" s="92"/>
      <c r="BO73" s="91"/>
      <c r="BP73" s="92"/>
      <c r="BS73" s="91"/>
      <c r="BT73" s="92"/>
      <c r="BW73" s="91"/>
      <c r="BX73" s="92"/>
      <c r="CA73" s="91"/>
      <c r="CB73" s="92"/>
    </row>
    <row r="74" spans="1:82" s="85" customFormat="1" ht="14.25" customHeight="1" x14ac:dyDescent="0.2">
      <c r="C74" s="91"/>
      <c r="D74" s="92"/>
      <c r="G74" s="91"/>
      <c r="H74" s="92"/>
      <c r="K74" s="91"/>
      <c r="L74" s="92"/>
      <c r="O74" s="91"/>
      <c r="P74" s="92"/>
      <c r="S74" s="91"/>
      <c r="T74" s="92"/>
      <c r="W74" s="91"/>
      <c r="X74" s="92"/>
      <c r="AA74" s="91"/>
      <c r="AB74" s="92"/>
      <c r="AE74" s="91"/>
      <c r="AF74" s="92"/>
      <c r="AI74" s="91"/>
      <c r="AJ74" s="92"/>
      <c r="AM74" s="91"/>
      <c r="AN74" s="92"/>
      <c r="AQ74" s="91"/>
      <c r="AR74" s="92"/>
      <c r="AU74" s="91"/>
      <c r="AV74" s="92"/>
      <c r="AY74" s="91"/>
      <c r="AZ74" s="92"/>
      <c r="BC74" s="91"/>
      <c r="BD74" s="92"/>
      <c r="BG74" s="91"/>
      <c r="BH74" s="92"/>
      <c r="BK74" s="91"/>
      <c r="BL74" s="92"/>
      <c r="BO74" s="91"/>
      <c r="BP74" s="92"/>
      <c r="BS74" s="91"/>
      <c r="BT74" s="92"/>
      <c r="BW74" s="91"/>
      <c r="BX74" s="92"/>
      <c r="CA74" s="91"/>
      <c r="CB74" s="92"/>
    </row>
    <row r="75" spans="1:82" s="135" customFormat="1" ht="14.25" customHeight="1" x14ac:dyDescent="0.2">
      <c r="A75" s="134" t="s">
        <v>241</v>
      </c>
      <c r="C75" s="139"/>
      <c r="D75" s="138"/>
      <c r="E75" s="140"/>
      <c r="G75" s="139"/>
      <c r="H75" s="138"/>
      <c r="I75" s="140"/>
      <c r="K75" s="139"/>
      <c r="L75" s="138"/>
      <c r="M75" s="140" t="s">
        <v>369</v>
      </c>
      <c r="O75" s="139"/>
      <c r="P75" s="138"/>
      <c r="Q75" s="140"/>
      <c r="S75" s="139"/>
      <c r="T75" s="138"/>
      <c r="U75" s="140" t="s">
        <v>370</v>
      </c>
      <c r="W75" s="139"/>
      <c r="X75" s="138"/>
      <c r="Y75" s="140"/>
      <c r="AA75" s="139"/>
      <c r="AB75" s="138"/>
      <c r="AC75" s="140" t="s">
        <v>371</v>
      </c>
      <c r="AE75" s="139"/>
      <c r="AF75" s="138"/>
      <c r="AG75" s="140"/>
      <c r="AI75" s="139"/>
      <c r="AJ75" s="138"/>
      <c r="AK75" s="140"/>
      <c r="AM75" s="139"/>
      <c r="AN75" s="138"/>
      <c r="AO75" s="140"/>
      <c r="AQ75" s="139"/>
      <c r="AR75" s="138"/>
      <c r="AS75" s="140"/>
      <c r="AU75" s="139"/>
      <c r="AV75" s="138"/>
      <c r="AW75" s="140"/>
      <c r="AY75" s="139"/>
      <c r="AZ75" s="138"/>
      <c r="BA75" s="140" t="s">
        <v>372</v>
      </c>
      <c r="BC75" s="139"/>
      <c r="BD75" s="138"/>
      <c r="BE75" s="140" t="s">
        <v>373</v>
      </c>
      <c r="BG75" s="139"/>
      <c r="BH75" s="138"/>
      <c r="BI75" s="140"/>
      <c r="BK75" s="139"/>
      <c r="BL75" s="138"/>
      <c r="BM75" s="140" t="s">
        <v>374</v>
      </c>
      <c r="BO75" s="139"/>
      <c r="BP75" s="138"/>
      <c r="BR75" s="140"/>
      <c r="BS75" s="139"/>
      <c r="BT75" s="138"/>
      <c r="BU75" s="140" t="s">
        <v>375</v>
      </c>
      <c r="BW75" s="139"/>
      <c r="BX75" s="138"/>
      <c r="BY75" s="140" t="s">
        <v>376</v>
      </c>
      <c r="CA75" s="139"/>
      <c r="CB75" s="138"/>
      <c r="CC75" s="140" t="s">
        <v>377</v>
      </c>
    </row>
    <row r="76" spans="1:82" s="93" customFormat="1" ht="14.25" customHeight="1" x14ac:dyDescent="0.2">
      <c r="B76" s="93" t="s">
        <v>260</v>
      </c>
      <c r="C76" s="101"/>
      <c r="D76" s="102"/>
      <c r="F76" s="93" t="s">
        <v>157</v>
      </c>
      <c r="G76" s="101"/>
      <c r="H76" s="102"/>
      <c r="K76" s="101"/>
      <c r="L76" s="102"/>
      <c r="O76" s="101"/>
      <c r="P76" s="102"/>
      <c r="S76" s="101"/>
      <c r="T76" s="102"/>
      <c r="W76" s="101"/>
      <c r="X76" s="102"/>
      <c r="AA76" s="101"/>
      <c r="AB76" s="102"/>
      <c r="AE76" s="101"/>
      <c r="AF76" s="102"/>
      <c r="AI76" s="101"/>
      <c r="AJ76" s="102"/>
      <c r="AM76" s="101"/>
      <c r="AN76" s="102"/>
      <c r="AQ76" s="101"/>
      <c r="AR76" s="102"/>
      <c r="AU76" s="101"/>
      <c r="AV76" s="102"/>
      <c r="AY76" s="101"/>
      <c r="AZ76" s="102"/>
      <c r="BC76" s="101"/>
      <c r="BD76" s="102"/>
      <c r="BG76" s="101"/>
      <c r="BH76" s="102"/>
      <c r="BK76" s="101"/>
      <c r="BL76" s="102"/>
      <c r="BO76" s="101"/>
      <c r="BP76" s="102"/>
      <c r="BS76" s="101"/>
      <c r="BT76" s="102"/>
      <c r="BW76" s="101"/>
      <c r="BX76" s="102"/>
      <c r="BY76" s="93" t="s">
        <v>378</v>
      </c>
      <c r="CA76" s="101"/>
      <c r="CB76" s="102"/>
      <c r="CC76" s="93" t="s">
        <v>379</v>
      </c>
    </row>
    <row r="77" spans="1:82" s="93" customFormat="1" ht="14.25" customHeight="1" x14ac:dyDescent="0.2">
      <c r="A77" s="142"/>
      <c r="B77" s="93" t="s">
        <v>265</v>
      </c>
      <c r="C77" s="101"/>
      <c r="D77" s="102"/>
      <c r="G77" s="101"/>
      <c r="H77" s="102"/>
      <c r="K77" s="101"/>
      <c r="L77" s="102"/>
      <c r="O77" s="101"/>
      <c r="P77" s="102"/>
      <c r="S77" s="101"/>
      <c r="T77" s="102"/>
      <c r="W77" s="101"/>
      <c r="X77" s="102"/>
      <c r="AA77" s="101"/>
      <c r="AB77" s="102"/>
      <c r="AE77" s="101"/>
      <c r="AF77" s="102"/>
      <c r="AI77" s="101"/>
      <c r="AJ77" s="102"/>
      <c r="AM77" s="101"/>
      <c r="AN77" s="102"/>
      <c r="AQ77" s="101"/>
      <c r="AR77" s="102"/>
      <c r="AU77" s="101"/>
      <c r="AV77" s="102"/>
      <c r="AY77" s="101"/>
      <c r="AZ77" s="102"/>
      <c r="BC77" s="101"/>
      <c r="BD77" s="102"/>
      <c r="BG77" s="101"/>
      <c r="BH77" s="102"/>
      <c r="BK77" s="101"/>
      <c r="BL77" s="102"/>
      <c r="BO77" s="101"/>
      <c r="BP77" s="102"/>
      <c r="BS77" s="101"/>
      <c r="BT77" s="102"/>
      <c r="BW77" s="101"/>
      <c r="BX77" s="102"/>
      <c r="CA77" s="101"/>
      <c r="CB77" s="102"/>
    </row>
    <row r="78" spans="1:82" s="85" customFormat="1" ht="14.25" customHeight="1" x14ac:dyDescent="0.25">
      <c r="A78" s="143"/>
      <c r="C78" s="91"/>
      <c r="D78" s="92"/>
      <c r="G78" s="91"/>
      <c r="H78" s="92"/>
      <c r="K78" s="91"/>
      <c r="L78" s="92"/>
      <c r="O78" s="91"/>
      <c r="P78" s="92"/>
      <c r="S78" s="91"/>
      <c r="T78" s="92"/>
      <c r="W78" s="91"/>
      <c r="X78" s="92"/>
      <c r="AA78" s="91"/>
      <c r="AB78" s="92"/>
      <c r="AE78" s="91"/>
      <c r="AF78" s="92"/>
      <c r="AI78" s="91"/>
      <c r="AJ78" s="92"/>
      <c r="AM78" s="91"/>
      <c r="AN78" s="92"/>
      <c r="AQ78" s="91"/>
      <c r="AR78" s="92"/>
      <c r="AU78" s="91"/>
      <c r="AV78" s="92"/>
      <c r="AY78" s="91"/>
      <c r="AZ78" s="92"/>
      <c r="BC78" s="91"/>
      <c r="BD78" s="92"/>
      <c r="BG78" s="91"/>
      <c r="BH78" s="92"/>
      <c r="BK78" s="91"/>
      <c r="BL78" s="92"/>
      <c r="BO78" s="91"/>
      <c r="BP78" s="92"/>
      <c r="BS78" s="91"/>
      <c r="BT78" s="92"/>
      <c r="BW78" s="91"/>
      <c r="BX78" s="92"/>
      <c r="CA78" s="91"/>
      <c r="CB78" s="92"/>
    </row>
    <row r="79" spans="1:82" x14ac:dyDescent="0.2">
      <c r="A79" s="74" t="s">
        <v>267</v>
      </c>
      <c r="B79" s="144"/>
      <c r="E79" s="8"/>
      <c r="F79" s="120"/>
      <c r="I79" s="8"/>
      <c r="J79" s="120"/>
      <c r="M79" s="8"/>
      <c r="N79" s="120"/>
      <c r="Q79" s="8"/>
      <c r="R79" s="120"/>
      <c r="U79" s="8"/>
      <c r="V79" s="120"/>
      <c r="Y79" s="8"/>
      <c r="Z79" s="120"/>
      <c r="AC79" s="8"/>
      <c r="AD79" s="120"/>
      <c r="AG79" s="8"/>
      <c r="AH79" s="120"/>
      <c r="AK79" s="8"/>
      <c r="AL79" s="120"/>
      <c r="AO79" s="8"/>
      <c r="AP79" s="120"/>
      <c r="AS79" s="8"/>
      <c r="AT79" s="120"/>
      <c r="AW79" s="8"/>
      <c r="AX79" s="120"/>
      <c r="BA79" s="8"/>
      <c r="BB79" s="120"/>
      <c r="BE79" s="8"/>
      <c r="BF79" s="120"/>
      <c r="BI79" s="8"/>
      <c r="BJ79" s="120"/>
      <c r="BM79" s="8"/>
      <c r="BN79" s="120"/>
      <c r="BQ79" s="8"/>
      <c r="BR79" s="120"/>
      <c r="BU79" s="8"/>
      <c r="BV79" s="120"/>
      <c r="BY79" s="8"/>
      <c r="BZ79" s="120"/>
      <c r="CC79" s="8"/>
      <c r="CD79" s="120"/>
    </row>
    <row r="80" spans="1:82" x14ac:dyDescent="0.2">
      <c r="A80" s="74"/>
      <c r="B80" s="144"/>
      <c r="E80" s="8"/>
      <c r="F80" s="120"/>
      <c r="I80" s="8"/>
      <c r="J80" s="120"/>
      <c r="M80" s="8"/>
      <c r="N80" s="120"/>
      <c r="Q80" s="8"/>
      <c r="R80" s="120"/>
      <c r="U80" s="8"/>
      <c r="V80" s="120"/>
      <c r="Y80" s="8"/>
      <c r="Z80" s="120"/>
      <c r="AC80" s="8"/>
      <c r="AD80" s="120"/>
      <c r="AG80" s="8"/>
      <c r="AH80" s="120"/>
      <c r="AK80" s="8"/>
      <c r="AL80" s="120"/>
      <c r="AO80" s="8"/>
      <c r="AP80" s="120"/>
      <c r="AS80" s="8"/>
      <c r="AT80" s="120"/>
      <c r="AW80" s="8"/>
      <c r="AX80" s="120"/>
      <c r="BA80" s="8"/>
      <c r="BB80" s="120"/>
      <c r="BE80" s="8"/>
      <c r="BF80" s="120"/>
      <c r="BI80" s="8"/>
      <c r="BJ80" s="120"/>
      <c r="BM80" s="8"/>
      <c r="BN80" s="120"/>
      <c r="BQ80" s="8"/>
      <c r="BR80" s="120"/>
      <c r="BU80" s="8"/>
      <c r="BV80" s="120"/>
      <c r="BY80" s="8"/>
      <c r="BZ80" s="120"/>
      <c r="CC80" s="8"/>
      <c r="CD80" s="120"/>
    </row>
    <row r="81" spans="1:82" s="146" customFormat="1" ht="14.25" customHeight="1" x14ac:dyDescent="0.25">
      <c r="A81" s="145" t="s">
        <v>268</v>
      </c>
      <c r="D81" s="92"/>
      <c r="H81" s="92"/>
      <c r="L81" s="92"/>
      <c r="P81" s="92"/>
      <c r="T81" s="92"/>
      <c r="X81" s="92"/>
      <c r="AB81" s="92"/>
      <c r="AF81" s="92"/>
      <c r="AJ81" s="92"/>
      <c r="AN81" s="92"/>
      <c r="AR81" s="92"/>
      <c r="AV81" s="92"/>
      <c r="AZ81" s="92"/>
      <c r="BD81" s="92"/>
      <c r="BH81" s="92"/>
      <c r="BL81" s="92"/>
      <c r="BP81" s="92"/>
      <c r="BT81" s="92"/>
      <c r="BX81" s="92"/>
      <c r="CB81" s="92"/>
    </row>
    <row r="82" spans="1:82" s="85" customFormat="1" ht="14.25" customHeight="1" x14ac:dyDescent="0.2">
      <c r="A82" s="148" t="s">
        <v>269</v>
      </c>
      <c r="B82" s="148"/>
      <c r="C82" s="91"/>
      <c r="D82" s="92"/>
      <c r="G82" s="91"/>
      <c r="H82" s="92"/>
      <c r="K82" s="91"/>
      <c r="L82" s="92"/>
      <c r="O82" s="91"/>
      <c r="P82" s="92"/>
      <c r="S82" s="91"/>
      <c r="T82" s="92"/>
      <c r="W82" s="91"/>
      <c r="X82" s="92"/>
      <c r="AA82" s="91"/>
      <c r="AB82" s="92"/>
      <c r="AE82" s="91"/>
      <c r="AF82" s="92"/>
      <c r="AI82" s="91"/>
      <c r="AJ82" s="92"/>
      <c r="AM82" s="91"/>
      <c r="AN82" s="92"/>
      <c r="AQ82" s="91"/>
      <c r="AR82" s="92"/>
      <c r="AU82" s="91"/>
      <c r="AV82" s="92"/>
      <c r="AY82" s="91"/>
      <c r="AZ82" s="92"/>
      <c r="BC82" s="91"/>
      <c r="BD82" s="92"/>
      <c r="BG82" s="91"/>
      <c r="BH82" s="92"/>
      <c r="BK82" s="91"/>
      <c r="BL82" s="92"/>
      <c r="BO82" s="91"/>
      <c r="BP82" s="92"/>
      <c r="BS82" s="91"/>
      <c r="BT82" s="92"/>
      <c r="BW82" s="91"/>
      <c r="BX82" s="92"/>
      <c r="CA82" s="91"/>
      <c r="CB82" s="92"/>
    </row>
    <row r="83" spans="1:82" x14ac:dyDescent="0.2">
      <c r="B83" s="149" t="s">
        <v>270</v>
      </c>
      <c r="E83" s="130">
        <f>(E24/E120)/E$142</f>
        <v>8.1054507466355313E-2</v>
      </c>
      <c r="F83" s="150"/>
      <c r="I83" s="130">
        <f>(I24/I120)/I$142</f>
        <v>2.3666751924121827E-2</v>
      </c>
      <c r="J83" s="150"/>
      <c r="M83" s="130">
        <f>(M24/M120)/M$142</f>
        <v>3.2047349236710092E-2</v>
      </c>
      <c r="N83" s="150"/>
      <c r="Q83" s="130">
        <f>(Q24/Q120)/Q$142</f>
        <v>7.1137572056895254E-3</v>
      </c>
      <c r="R83" s="150"/>
      <c r="U83" s="130">
        <f>(U24/U120)/U$142</f>
        <v>7.7627857354736658E-3</v>
      </c>
      <c r="V83" s="150"/>
      <c r="Y83" s="130">
        <f>(Y24/Y120)/Y$142</f>
        <v>-5.0449500157611045E-3</v>
      </c>
      <c r="Z83" s="150"/>
      <c r="AC83" s="130">
        <f>(AC24/AC120)/AC$142</f>
        <v>2.3468703166565977E-2</v>
      </c>
      <c r="AD83" s="150"/>
      <c r="AG83" s="130">
        <f>(AG24/AG120)/AG$142</f>
        <v>2.7523078116515397E-2</v>
      </c>
      <c r="AH83" s="150"/>
      <c r="AK83" s="130">
        <f>(AK24/AK120)/AK$142</f>
        <v>1.0923370138846247E-2</v>
      </c>
      <c r="AL83" s="150"/>
      <c r="AO83" s="130">
        <f>(AO24/AO120)/AO$142</f>
        <v>2.3512608979364886E-3</v>
      </c>
      <c r="AP83" s="150"/>
      <c r="AS83" s="130">
        <f>(AS24/AS120)/AS$142</f>
        <v>6.8694259067734326E-3</v>
      </c>
      <c r="AT83" s="150"/>
      <c r="AW83" s="130">
        <f>(AW24/AW120)/AW$142</f>
        <v>7.0867299814291518E-2</v>
      </c>
      <c r="AX83" s="150"/>
      <c r="BA83" s="130">
        <f>(BA24/BA120)/BA$142</f>
        <v>2.8116717306083817E-2</v>
      </c>
      <c r="BB83" s="150"/>
      <c r="BE83" s="130">
        <f>(BE24/BE120)/BE$142</f>
        <v>2.3446438420666696E-2</v>
      </c>
      <c r="BF83" s="150"/>
      <c r="BI83" s="130">
        <f>(BI24/BI120)/BI$142</f>
        <v>2.6130953742645915E-2</v>
      </c>
      <c r="BJ83" s="150"/>
      <c r="BM83" s="130">
        <f>(BM24/BM120)/BM$142</f>
        <v>1.8668003013991991E-2</v>
      </c>
      <c r="BN83" s="150"/>
      <c r="BQ83" s="130" t="e">
        <f>(BQ24/BQ120)/BQ$142</f>
        <v>#DIV/0!</v>
      </c>
      <c r="BR83" s="130">
        <f>(BR24/BR120)/BR$142</f>
        <v>-2.1163773909458616E-3</v>
      </c>
      <c r="BU83" s="130">
        <f>(BU24/BU120)/BU$142</f>
        <v>8.2443593165066803E-2</v>
      </c>
      <c r="BV83" s="150"/>
      <c r="BY83" s="130">
        <f>(BY24/BY120)/BY$142</f>
        <v>4.0956753959357085E-2</v>
      </c>
      <c r="BZ83" s="150"/>
      <c r="CC83" s="130">
        <f>(CC24/CC120)/CC$142</f>
        <v>-5.743426906721809E-5</v>
      </c>
      <c r="CD83" s="150"/>
    </row>
    <row r="84" spans="1:82" x14ac:dyDescent="0.2">
      <c r="B84" s="155" t="s">
        <v>271</v>
      </c>
      <c r="E84" s="130">
        <f>(E24/E123)/E$142</f>
        <v>0.57331208345407125</v>
      </c>
      <c r="F84" s="150"/>
      <c r="I84" s="130">
        <f>(I24/I123)/I$142</f>
        <v>1.2671868607350243</v>
      </c>
      <c r="J84" s="150"/>
      <c r="M84" s="130">
        <f>(M24/M123)/M$142</f>
        <v>2.2089552238805972</v>
      </c>
      <c r="N84" s="150"/>
      <c r="Q84" s="130">
        <f>(Q24/Q123)/Q$142</f>
        <v>8.0367272211785343E-2</v>
      </c>
      <c r="R84" s="150"/>
      <c r="U84" s="130">
        <f>(U24/U123)/U$142</f>
        <v>0.74166637681495406</v>
      </c>
      <c r="V84" s="150"/>
      <c r="Y84" s="130" t="e">
        <f>(Y24/Y123)/Y$142</f>
        <v>#DIV/0!</v>
      </c>
      <c r="Z84" s="150"/>
      <c r="AC84" s="130">
        <f>(AC24/AC123)/AC$142</f>
        <v>0.20390219005196733</v>
      </c>
      <c r="AD84" s="150"/>
      <c r="AG84" s="130">
        <f>(AG24/AG123)/AG$142</f>
        <v>0.21705616052856969</v>
      </c>
      <c r="AH84" s="150"/>
      <c r="AK84" s="130">
        <f>(AK24/AK123)/AK$142</f>
        <v>8.7519708093056439E-2</v>
      </c>
      <c r="AL84" s="150"/>
      <c r="AO84" s="130">
        <f>(AO24/AO123)/AO$142</f>
        <v>5.9619469658906618E-2</v>
      </c>
      <c r="AP84" s="150"/>
      <c r="AS84" s="130">
        <f>(AS24/AS123)/AS$142</f>
        <v>9.8234799371026582E-2</v>
      </c>
      <c r="AT84" s="150"/>
      <c r="AW84" s="130">
        <f>(AW24/AW123)/AW$142</f>
        <v>1.8526132314869403</v>
      </c>
      <c r="AX84" s="150"/>
      <c r="BA84" s="130">
        <f>(BA24/BA123)/BA$142</f>
        <v>0.15114698790971892</v>
      </c>
      <c r="BB84" s="150"/>
      <c r="BE84" s="130">
        <f>(BE24/BE123)/BE$142</f>
        <v>0.2101617664249105</v>
      </c>
      <c r="BF84" s="150"/>
      <c r="BI84" s="130">
        <f>(BI24/BI123)/BI$142</f>
        <v>0.28880229964299603</v>
      </c>
      <c r="BJ84" s="150"/>
      <c r="BM84" s="130">
        <f>(BM24/BM123)/BM$142</f>
        <v>0.17650066468964107</v>
      </c>
      <c r="BN84" s="150"/>
      <c r="BQ84" s="130" t="e">
        <f>(BQ24/BQ123)/BQ$142</f>
        <v>#DIV/0!</v>
      </c>
      <c r="BR84" s="130">
        <f>(BR24/BR123)/BR$142</f>
        <v>-5.4304078502206449E-2</v>
      </c>
      <c r="BU84" s="130">
        <f>(BU24/BU123)/BU$142</f>
        <v>0.63110175143363223</v>
      </c>
      <c r="BV84" s="150"/>
      <c r="BY84" s="130">
        <f>(BY24/BY123)/BY$142</f>
        <v>0.33399805447470798</v>
      </c>
      <c r="BZ84" s="150"/>
      <c r="CC84" s="130">
        <f>(CC24/CC123)/CC$142</f>
        <v>-3.5933111084319319E-4</v>
      </c>
      <c r="CD84" s="150"/>
    </row>
    <row r="85" spans="1:82" x14ac:dyDescent="0.2">
      <c r="B85" s="156" t="s">
        <v>8</v>
      </c>
      <c r="E85" s="130">
        <f>(E7-E8)/E120</f>
        <v>0.18685347917818881</v>
      </c>
      <c r="F85" s="150"/>
      <c r="I85" s="130">
        <f>(I7-I8)/I120</f>
        <v>4.4278535614912143E-2</v>
      </c>
      <c r="J85" s="150"/>
      <c r="M85" s="130">
        <f>(M7-M8)/M120</f>
        <v>0.11736258977227615</v>
      </c>
      <c r="N85" s="150"/>
      <c r="Q85" s="130">
        <f>(Q7-Q8)/Q120</f>
        <v>1.5450068246361387E-2</v>
      </c>
      <c r="R85" s="150"/>
      <c r="U85" s="130">
        <f>(U7-U8)/U120</f>
        <v>1.8498972549871519E-2</v>
      </c>
      <c r="V85" s="150"/>
      <c r="Y85" s="130">
        <f>(Y7-Y8)/Y120</f>
        <v>-7.8714403273927175E-3</v>
      </c>
      <c r="Z85" s="150"/>
      <c r="AC85" s="130">
        <f>(AC7-AC8)/AC120</f>
        <v>4.9594291035684364E-2</v>
      </c>
      <c r="AD85" s="150"/>
      <c r="AG85" s="130">
        <f>(AG7-AG8)/AG120</f>
        <v>5.3411941147570655E-2</v>
      </c>
      <c r="AH85" s="150"/>
      <c r="AK85" s="130">
        <f>(AK7-AK8)/AK120</f>
        <v>4.1200899326813201E-2</v>
      </c>
      <c r="AL85" s="150"/>
      <c r="AO85" s="130">
        <f>(AO7-AO8)/AO120</f>
        <v>1.9678358896139541E-2</v>
      </c>
      <c r="AP85" s="150"/>
      <c r="AS85" s="130">
        <f>(AS7-AS8)/AS120</f>
        <v>3.7518629688422275E-2</v>
      </c>
      <c r="AT85" s="150"/>
      <c r="AW85" s="130">
        <f>(AW7-AW8)/AW120</f>
        <v>8.6180896146401828E-2</v>
      </c>
      <c r="AX85" s="150"/>
      <c r="BA85" s="130">
        <f>(BA7-BA8)/BA120</f>
        <v>8.8025482626158114E-2</v>
      </c>
      <c r="BB85" s="150"/>
      <c r="BE85" s="130">
        <f>(BE7-BE8)/BE120</f>
        <v>3.0113453007309596E-2</v>
      </c>
      <c r="BF85" s="150"/>
      <c r="BI85" s="130">
        <f>(BI7-BI8)/BI120</f>
        <v>0.12254200937549826</v>
      </c>
      <c r="BJ85" s="150"/>
      <c r="BM85" s="130">
        <f>(BM7-BM8)/BM120</f>
        <v>4.939918449164122E-2</v>
      </c>
      <c r="BN85" s="150"/>
      <c r="BQ85" s="130">
        <f>(BQ7-BQ8)/BQ120</f>
        <v>1.9678358896139541E-2</v>
      </c>
      <c r="BR85" s="130">
        <f>(BR7-BR8)/BR120</f>
        <v>1.722631071958565E-2</v>
      </c>
      <c r="BU85" s="130">
        <f>(BU7-BU8)/BU120</f>
        <v>5.5841914097059089E-2</v>
      </c>
      <c r="BV85" s="150"/>
      <c r="BY85" s="130">
        <f>(BY7-BY8)/BY120</f>
        <v>5.5694380477560701E-2</v>
      </c>
      <c r="BZ85" s="150"/>
      <c r="CC85" s="130">
        <f>(CC7-CC8)/CC120</f>
        <v>-1.4803295223153913E-2</v>
      </c>
      <c r="CD85" s="150"/>
    </row>
    <row r="86" spans="1:82" x14ac:dyDescent="0.2">
      <c r="B86" s="157" t="s">
        <v>380</v>
      </c>
      <c r="C86" s="130">
        <f>C7/C121</f>
        <v>0</v>
      </c>
      <c r="D86" s="131"/>
      <c r="E86" s="130">
        <f>E7/E121</f>
        <v>0.2967959154290018</v>
      </c>
      <c r="F86" s="130">
        <f>F7/F121</f>
        <v>0.27326047724082614</v>
      </c>
      <c r="G86" s="130">
        <f>G7/G121</f>
        <v>0</v>
      </c>
      <c r="H86" s="131"/>
      <c r="I86" s="130">
        <f>I7/I121</f>
        <v>0.12643651007247483</v>
      </c>
      <c r="J86" s="130">
        <f>J7/J121</f>
        <v>0.12342610132733507</v>
      </c>
      <c r="K86" s="130">
        <f>K7/K121</f>
        <v>0</v>
      </c>
      <c r="L86" s="131"/>
      <c r="M86" s="130">
        <f>M7/M121</f>
        <v>0.33513018714401954</v>
      </c>
      <c r="N86" s="130">
        <f>N7/N121</f>
        <v>3.3552404012452436E-2</v>
      </c>
      <c r="O86" s="130">
        <f>O7/O121</f>
        <v>0</v>
      </c>
      <c r="P86" s="131"/>
      <c r="Q86" s="130">
        <f>Q7/Q121</f>
        <v>6.5951266432429614E-2</v>
      </c>
      <c r="R86" s="130">
        <f>R7/R121</f>
        <v>6.6834977783119018E-2</v>
      </c>
      <c r="S86" s="130">
        <f>S7/S121</f>
        <v>0</v>
      </c>
      <c r="T86" s="131"/>
      <c r="U86" s="130">
        <f>U7/U121</f>
        <v>0.11103356632913018</v>
      </c>
      <c r="V86" s="130">
        <f>V7/V121</f>
        <v>1.2746576431844061E-2</v>
      </c>
      <c r="W86" s="130">
        <f>W7/W121</f>
        <v>0</v>
      </c>
      <c r="X86" s="131"/>
      <c r="Y86" s="130">
        <f>Y7/Y121</f>
        <v>6.3639511768762508E-2</v>
      </c>
      <c r="Z86" s="130">
        <f>Z7/Z121</f>
        <v>5.8506557729491537E-2</v>
      </c>
      <c r="AA86" s="130">
        <f>AA7/AA121</f>
        <v>0</v>
      </c>
      <c r="AB86" s="131"/>
      <c r="AC86" s="130">
        <f>AC7/AC121</f>
        <v>0.11386330922040516</v>
      </c>
      <c r="AD86" s="130">
        <f>AD7/AD121</f>
        <v>8.64564951027611E-2</v>
      </c>
      <c r="AE86" s="130">
        <f>AE7/AE121</f>
        <v>0</v>
      </c>
      <c r="AF86" s="131"/>
      <c r="AG86" s="130">
        <f>AG7/AG121</f>
        <v>0.13497373995299305</v>
      </c>
      <c r="AH86" s="130">
        <f>AH7/AH121</f>
        <v>0.11987451018689194</v>
      </c>
      <c r="AI86" s="130">
        <f>AI7/AI121</f>
        <v>0</v>
      </c>
      <c r="AJ86" s="131"/>
      <c r="AK86" s="130">
        <f>AK7/AK121</f>
        <v>9.8463262306987168E-2</v>
      </c>
      <c r="AL86" s="130">
        <f>AL7/AL121</f>
        <v>9.8460114864361209E-2</v>
      </c>
      <c r="AM86" s="130">
        <f>AM7/AM121</f>
        <v>0</v>
      </c>
      <c r="AN86" s="131"/>
      <c r="AO86" s="130">
        <f>AO7/AO121</f>
        <v>8.7804525748556073E-2</v>
      </c>
      <c r="AP86" s="130">
        <f>AP7/AP121</f>
        <v>7.5396709605820345E-2</v>
      </c>
      <c r="AQ86" s="130">
        <f>AQ7/AQ121</f>
        <v>0</v>
      </c>
      <c r="AR86" s="131"/>
      <c r="AS86" s="130">
        <f>AS7/AS121</f>
        <v>0.10912629751638986</v>
      </c>
      <c r="AT86" s="130">
        <f>AT7/AT121</f>
        <v>0.12695348083262445</v>
      </c>
      <c r="AU86" s="130">
        <f>AU7/AU121</f>
        <v>0</v>
      </c>
      <c r="AV86" s="131"/>
      <c r="AW86" s="130">
        <f>AW7/AW121</f>
        <v>0.14233683678553777</v>
      </c>
      <c r="AX86" s="130">
        <f>AX7/AX121</f>
        <v>0.14280185758513933</v>
      </c>
      <c r="AY86" s="130">
        <f>AY7/AY121</f>
        <v>0</v>
      </c>
      <c r="AZ86" s="131"/>
      <c r="BA86" s="130">
        <f>BA7/BA121</f>
        <v>0.19951212464194959</v>
      </c>
      <c r="BB86" s="130">
        <f>BB7/BB121</f>
        <v>0.12339672062326103</v>
      </c>
      <c r="BC86" s="130">
        <f>BC7/BC121</f>
        <v>0</v>
      </c>
      <c r="BD86" s="131"/>
      <c r="BE86" s="130">
        <f>BE7/BE121</f>
        <v>0.10953911354102194</v>
      </c>
      <c r="BF86" s="130">
        <f>BF7/BF121</f>
        <v>8.5008286998529872E-2</v>
      </c>
      <c r="BG86" s="130">
        <f>BG7/BG121</f>
        <v>0</v>
      </c>
      <c r="BH86" s="131"/>
      <c r="BI86" s="130">
        <f>BI7/BI121</f>
        <v>0.22775676114506055</v>
      </c>
      <c r="BJ86" s="130">
        <f>BJ7/BJ121</f>
        <v>0.21333116384520656</v>
      </c>
      <c r="BK86" s="130">
        <f>BK7/BK121</f>
        <v>0</v>
      </c>
      <c r="BL86" s="131"/>
      <c r="BM86" s="130">
        <f>BM7/BM121</f>
        <v>0.12249525474434135</v>
      </c>
      <c r="BN86" s="130">
        <f>BN7/BN121</f>
        <v>8.2161953122372802E-2</v>
      </c>
      <c r="BO86" s="130">
        <f>BO7/BO121</f>
        <v>0</v>
      </c>
      <c r="BP86" s="131"/>
      <c r="BQ86" s="130">
        <f>BQ7/BQ121</f>
        <v>8.7804525748556073E-2</v>
      </c>
      <c r="BR86" s="130">
        <f>BR7/BR121</f>
        <v>7.5396709605820345E-2</v>
      </c>
      <c r="BS86" s="130">
        <f>BS7/BS121</f>
        <v>0</v>
      </c>
      <c r="BT86" s="131"/>
      <c r="BU86" s="130">
        <f>BU7/BU121</f>
        <v>0.13565023605815549</v>
      </c>
      <c r="BV86" s="130">
        <f>BV7/BV121</f>
        <v>0.11642657326744438</v>
      </c>
      <c r="BW86" s="130">
        <f>BW7/BW121</f>
        <v>0</v>
      </c>
      <c r="BX86" s="131"/>
      <c r="BY86" s="130">
        <f>BY7/BY121</f>
        <v>0.13137175813019655</v>
      </c>
      <c r="BZ86" s="130">
        <f>BZ7/BZ121</f>
        <v>7.7406400290406019E-2</v>
      </c>
      <c r="CA86" s="130">
        <f>CA7/CA121</f>
        <v>0</v>
      </c>
      <c r="CB86" s="131"/>
      <c r="CC86" s="130">
        <f>CC7/CC121</f>
        <v>6.2463340106369142E-2</v>
      </c>
      <c r="CD86" s="150"/>
    </row>
    <row r="87" spans="1:82" x14ac:dyDescent="0.2">
      <c r="B87" s="157" t="s">
        <v>274</v>
      </c>
      <c r="C87" s="130">
        <f>C8/C125</f>
        <v>0</v>
      </c>
      <c r="D87" s="131"/>
      <c r="E87" s="130">
        <f>E8/E125</f>
        <v>0.11155451225873761</v>
      </c>
      <c r="F87" s="130">
        <f>F8/F125</f>
        <v>0.16222136704064416</v>
      </c>
      <c r="G87" s="130">
        <f>G8/G125</f>
        <v>0</v>
      </c>
      <c r="H87" s="131"/>
      <c r="I87" s="130">
        <f>I8/I125</f>
        <v>6.9849800525947706E-2</v>
      </c>
      <c r="J87" s="130">
        <f>J8/J125</f>
        <v>6.5532451037057016E-2</v>
      </c>
      <c r="K87" s="130">
        <f>K8/K125</f>
        <v>0</v>
      </c>
      <c r="L87" s="131"/>
      <c r="M87" s="130">
        <f>M8/M125</f>
        <v>0.12764818355640536</v>
      </c>
      <c r="N87" s="130">
        <f>N8/N125</f>
        <v>1.9568656840702806E-2</v>
      </c>
      <c r="O87" s="130">
        <f>O8/O125</f>
        <v>0</v>
      </c>
      <c r="P87" s="131"/>
      <c r="Q87" s="130">
        <f>Q8/Q125</f>
        <v>5.1542673366767891E-2</v>
      </c>
      <c r="R87" s="130">
        <f>R8/R125</f>
        <v>5.0445798485101827E-2</v>
      </c>
      <c r="S87" s="130">
        <f>S8/S125</f>
        <v>0</v>
      </c>
      <c r="T87" s="131"/>
      <c r="U87" s="130">
        <f>U8/U125</f>
        <v>9.3989680423738967E-2</v>
      </c>
      <c r="V87" s="130">
        <f>V8/V125</f>
        <v>1.1901189418876945E-2</v>
      </c>
      <c r="W87" s="130" t="e">
        <f>W8/W125</f>
        <v>#DIV/0!</v>
      </c>
      <c r="X87" s="131"/>
      <c r="Y87" s="130" t="e">
        <f>Y8/Y125</f>
        <v>#DIV/0!</v>
      </c>
      <c r="Z87" s="130" t="e">
        <f>Z8/Z125</f>
        <v>#DIV/0!</v>
      </c>
      <c r="AA87" s="130">
        <f>AA8/AA125</f>
        <v>0</v>
      </c>
      <c r="AB87" s="131"/>
      <c r="AC87" s="130">
        <f>AC8/AC125</f>
        <v>6.7560740152314808E-2</v>
      </c>
      <c r="AD87" s="130">
        <f>AD8/AD125</f>
        <v>5.4158758002495783E-2</v>
      </c>
      <c r="AE87" s="130">
        <f>AE8/AE125</f>
        <v>0</v>
      </c>
      <c r="AF87" s="131"/>
      <c r="AG87" s="130">
        <f>AG8/AG125</f>
        <v>7.6822073423602741E-2</v>
      </c>
      <c r="AH87" s="130">
        <f>AH8/AH125</f>
        <v>6.6618657618181601E-2</v>
      </c>
      <c r="AI87" s="130">
        <f>AI8/AI125</f>
        <v>0</v>
      </c>
      <c r="AJ87" s="131"/>
      <c r="AK87" s="130">
        <f>AK8/AK125</f>
        <v>5.9629388879811382E-2</v>
      </c>
      <c r="AL87" s="130">
        <f>AL8/AL125</f>
        <v>6.176262314108686E-2</v>
      </c>
      <c r="AM87" s="130">
        <f>AM8/AM125</f>
        <v>0</v>
      </c>
      <c r="AN87" s="131"/>
      <c r="AO87" s="130">
        <f>AO8/AO125</f>
        <v>5.4151452837237463E-2</v>
      </c>
      <c r="AP87" s="130">
        <f>AP8/AP125</f>
        <v>4.470275921333404E-2</v>
      </c>
      <c r="AQ87" s="130">
        <f>AQ8/AQ125</f>
        <v>0</v>
      </c>
      <c r="AR87" s="131"/>
      <c r="AS87" s="130">
        <f>AS8/AS125</f>
        <v>7.7644600564596725E-2</v>
      </c>
      <c r="AT87" s="130">
        <f>AT8/AT125</f>
        <v>9.8732558139534882E-2</v>
      </c>
      <c r="AU87" s="130">
        <f>AU8/AU125</f>
        <v>0</v>
      </c>
      <c r="AV87" s="131"/>
      <c r="AW87" s="130">
        <f>AW8/AW125</f>
        <v>5.3756464716353189E-2</v>
      </c>
      <c r="AX87" s="130">
        <f>AX8/AX125</f>
        <v>5.5464037792206961E-2</v>
      </c>
      <c r="AY87" s="130">
        <f>AY8/AY125</f>
        <v>0</v>
      </c>
      <c r="AZ87" s="131"/>
      <c r="BA87" s="130">
        <f>BA8/BA125</f>
        <v>8.9690600412707711E-2</v>
      </c>
      <c r="BB87" s="130">
        <f>BB8/BB125</f>
        <v>4.4463756383852575E-2</v>
      </c>
      <c r="BC87" s="130">
        <f>BC8/BC125</f>
        <v>0</v>
      </c>
      <c r="BD87" s="131"/>
      <c r="BE87" s="130">
        <f>BE8/BE125</f>
        <v>8.0160993885728601E-2</v>
      </c>
      <c r="BF87" s="130">
        <f>BF8/BF125</f>
        <v>5.711673582791256E-2</v>
      </c>
      <c r="BG87" s="130">
        <f>BG8/BG125</f>
        <v>0</v>
      </c>
      <c r="BH87" s="131"/>
      <c r="BI87" s="130">
        <f>BI8/BI125</f>
        <v>0.10065280587888988</v>
      </c>
      <c r="BJ87" s="130">
        <f>BJ8/BJ125</f>
        <v>8.8349053859910015E-2</v>
      </c>
      <c r="BK87" s="130">
        <f>BK8/BK125</f>
        <v>0</v>
      </c>
      <c r="BL87" s="131"/>
      <c r="BM87" s="130">
        <f>BM8/BM125</f>
        <v>7.9794868486832551E-2</v>
      </c>
      <c r="BN87" s="130">
        <f>BN8/BN125</f>
        <v>5.336003353048014E-2</v>
      </c>
      <c r="BO87" s="130">
        <f>BO8/BO125</f>
        <v>0</v>
      </c>
      <c r="BP87" s="131"/>
      <c r="BQ87" s="130">
        <f>BQ8/BQ125</f>
        <v>5.6320105421685841E-2</v>
      </c>
      <c r="BR87" s="130">
        <f>BR8/BR125</f>
        <v>4.634342642401839E-2</v>
      </c>
      <c r="BS87" s="130">
        <f>BS8/BS125</f>
        <v>0</v>
      </c>
      <c r="BT87" s="131"/>
      <c r="BU87" s="130">
        <f>BU8/BU125</f>
        <v>8.1832732481004769E-2</v>
      </c>
      <c r="BV87" s="130">
        <f>BV8/BV125</f>
        <v>6.6534252798575333E-2</v>
      </c>
      <c r="BW87" s="130">
        <f>BW8/BW125</f>
        <v>0</v>
      </c>
      <c r="BX87" s="131"/>
      <c r="BY87" s="130">
        <f>BY8/BY125</f>
        <v>8.7211206593449664E-2</v>
      </c>
      <c r="BZ87" s="130">
        <f>BZ8/BZ125</f>
        <v>4.2566332256823589E-2</v>
      </c>
      <c r="CA87" s="130">
        <f>CA8/CA125</f>
        <v>0</v>
      </c>
      <c r="CB87" s="131"/>
      <c r="CC87" s="130">
        <f>CC8/CC125</f>
        <v>5.4332526770339735E-2</v>
      </c>
      <c r="CD87" s="150"/>
    </row>
    <row r="88" spans="1:82" x14ac:dyDescent="0.2">
      <c r="B88" s="157" t="s">
        <v>275</v>
      </c>
      <c r="C88" s="130" t="e">
        <f t="shared" ref="C88:BN88" si="2">C14/(C14+C9)</f>
        <v>#DIV/0!</v>
      </c>
      <c r="D88" s="131"/>
      <c r="E88" s="130">
        <f t="shared" si="2"/>
        <v>0.50962262122352431</v>
      </c>
      <c r="F88" s="130">
        <f t="shared" si="2"/>
        <v>0.59443488667813593</v>
      </c>
      <c r="G88" s="130" t="e">
        <f t="shared" si="2"/>
        <v>#DIV/0!</v>
      </c>
      <c r="H88" s="131"/>
      <c r="I88" s="130">
        <f t="shared" si="2"/>
        <v>5.5031587596366408E-2</v>
      </c>
      <c r="J88" s="130">
        <f t="shared" si="2"/>
        <v>5.5239947991303308E-2</v>
      </c>
      <c r="K88" s="130" t="e">
        <f t="shared" si="2"/>
        <v>#DIV/0!</v>
      </c>
      <c r="L88" s="131"/>
      <c r="M88" s="130">
        <f t="shared" si="2"/>
        <v>0.5742340926944226</v>
      </c>
      <c r="N88" s="130">
        <f t="shared" si="2"/>
        <v>0.7973509933774835</v>
      </c>
      <c r="O88" s="130" t="e">
        <f t="shared" si="2"/>
        <v>#DIV/0!</v>
      </c>
      <c r="P88" s="131"/>
      <c r="Q88" s="130">
        <f t="shared" si="2"/>
        <v>0.43506681570289291</v>
      </c>
      <c r="R88" s="130">
        <f t="shared" si="2"/>
        <v>0.37690807204546284</v>
      </c>
      <c r="S88" s="130" t="e">
        <f t="shared" si="2"/>
        <v>#DIV/0!</v>
      </c>
      <c r="T88" s="131"/>
      <c r="U88" s="130">
        <f t="shared" si="2"/>
        <v>0.73022428965347341</v>
      </c>
      <c r="V88" s="130">
        <f t="shared" si="2"/>
        <v>0.93831389761229422</v>
      </c>
      <c r="W88" s="130" t="e">
        <f t="shared" si="2"/>
        <v>#DIV/0!</v>
      </c>
      <c r="X88" s="131"/>
      <c r="Y88" s="130">
        <f t="shared" si="2"/>
        <v>0</v>
      </c>
      <c r="Z88" s="130">
        <f t="shared" si="2"/>
        <v>0</v>
      </c>
      <c r="AA88" s="130" t="e">
        <f t="shared" si="2"/>
        <v>#DIV/0!</v>
      </c>
      <c r="AB88" s="131"/>
      <c r="AC88" s="130">
        <f t="shared" si="2"/>
        <v>0.33422948704161737</v>
      </c>
      <c r="AD88" s="130">
        <f t="shared" si="2"/>
        <v>0.41763285024154589</v>
      </c>
      <c r="AE88" s="130" t="e">
        <f t="shared" si="2"/>
        <v>#DIV/0!</v>
      </c>
      <c r="AF88" s="131"/>
      <c r="AG88" s="130">
        <f t="shared" si="2"/>
        <v>9.2283353840745291E-2</v>
      </c>
      <c r="AH88" s="130">
        <f t="shared" si="2"/>
        <v>0.11610942249240122</v>
      </c>
      <c r="AI88" s="130" t="e">
        <f t="shared" si="2"/>
        <v>#DIV/0!</v>
      </c>
      <c r="AJ88" s="131"/>
      <c r="AK88" s="130">
        <f t="shared" si="2"/>
        <v>9.5860295341819793E-2</v>
      </c>
      <c r="AL88" s="130">
        <f t="shared" si="2"/>
        <v>9.2630898139839324E-2</v>
      </c>
      <c r="AM88" s="130" t="e">
        <f t="shared" si="2"/>
        <v>#DIV/0!</v>
      </c>
      <c r="AN88" s="131"/>
      <c r="AO88" s="130">
        <f t="shared" si="2"/>
        <v>0.22933041634434748</v>
      </c>
      <c r="AP88" s="130">
        <f t="shared" si="2"/>
        <v>0.21994679413479115</v>
      </c>
      <c r="AQ88" s="130" t="e">
        <f t="shared" si="2"/>
        <v>#DIV/0!</v>
      </c>
      <c r="AR88" s="131"/>
      <c r="AS88" s="130">
        <f t="shared" si="2"/>
        <v>0.18790931225104407</v>
      </c>
      <c r="AT88" s="130">
        <f t="shared" si="2"/>
        <v>0.2645101619295443</v>
      </c>
      <c r="AU88" s="130" t="e">
        <f t="shared" si="2"/>
        <v>#DIV/0!</v>
      </c>
      <c r="AV88" s="131"/>
      <c r="AW88" s="130">
        <f t="shared" si="2"/>
        <v>3.2238884851687917E-2</v>
      </c>
      <c r="AX88" s="130">
        <f t="shared" si="2"/>
        <v>2.3002679693613793E-2</v>
      </c>
      <c r="AY88" s="130" t="e">
        <f t="shared" si="2"/>
        <v>#DIV/0!</v>
      </c>
      <c r="AZ88" s="131"/>
      <c r="BA88" s="130">
        <f t="shared" si="2"/>
        <v>0.37707603001156742</v>
      </c>
      <c r="BB88" s="130">
        <f t="shared" si="2"/>
        <v>0.37245800754861708</v>
      </c>
      <c r="BC88" s="130" t="e">
        <f t="shared" si="2"/>
        <v>#DIV/0!</v>
      </c>
      <c r="BD88" s="131"/>
      <c r="BE88" s="130">
        <f t="shared" si="2"/>
        <v>0.2486643859575754</v>
      </c>
      <c r="BF88" s="130">
        <f t="shared" si="2"/>
        <v>0.23842492494109932</v>
      </c>
      <c r="BG88" s="130" t="e">
        <f t="shared" si="2"/>
        <v>#DIV/0!</v>
      </c>
      <c r="BH88" s="131"/>
      <c r="BI88" s="130">
        <f t="shared" si="2"/>
        <v>0.60890942907012502</v>
      </c>
      <c r="BJ88" s="130">
        <f t="shared" si="2"/>
        <v>0.54179525319182953</v>
      </c>
      <c r="BK88" s="130" t="e">
        <f t="shared" si="2"/>
        <v>#DIV/0!</v>
      </c>
      <c r="BL88" s="131"/>
      <c r="BM88" s="130">
        <f t="shared" si="2"/>
        <v>0.20457448043654941</v>
      </c>
      <c r="BN88" s="130">
        <f t="shared" si="2"/>
        <v>0.20814568239671039</v>
      </c>
      <c r="BO88" s="130" t="e">
        <f t="shared" ref="BO88:CC88" si="3">BO14/(BO14+BO9)</f>
        <v>#DIV/0!</v>
      </c>
      <c r="BP88" s="131"/>
      <c r="BQ88" s="130">
        <f t="shared" si="3"/>
        <v>0.22933041634434748</v>
      </c>
      <c r="BR88" s="130">
        <f t="shared" si="3"/>
        <v>0.21994679413479115</v>
      </c>
      <c r="BS88" s="130" t="e">
        <f t="shared" si="3"/>
        <v>#DIV/0!</v>
      </c>
      <c r="BT88" s="131"/>
      <c r="BU88" s="130">
        <f t="shared" si="3"/>
        <v>0.66440790372486647</v>
      </c>
      <c r="BV88" s="130">
        <f t="shared" si="3"/>
        <v>0.55796710499396085</v>
      </c>
      <c r="BW88" s="130" t="e">
        <f t="shared" si="3"/>
        <v>#DIV/0!</v>
      </c>
      <c r="BX88" s="131"/>
      <c r="BY88" s="130">
        <f t="shared" si="3"/>
        <v>0.52262440229486651</v>
      </c>
      <c r="BZ88" s="130">
        <f t="shared" si="3"/>
        <v>0.5212595283472139</v>
      </c>
      <c r="CA88" s="130" t="e">
        <f t="shared" si="3"/>
        <v>#DIV/0!</v>
      </c>
      <c r="CB88" s="131"/>
      <c r="CC88" s="130">
        <f t="shared" si="3"/>
        <v>1.0408204654805862</v>
      </c>
      <c r="CD88" s="150"/>
    </row>
    <row r="89" spans="1:82" s="85" customFormat="1" ht="14.25" customHeight="1" x14ac:dyDescent="0.2">
      <c r="A89" s="159" t="s">
        <v>276</v>
      </c>
      <c r="B89" s="160"/>
      <c r="C89" s="91"/>
      <c r="D89" s="92"/>
      <c r="G89" s="91"/>
      <c r="H89" s="92"/>
      <c r="K89" s="91"/>
      <c r="L89" s="92"/>
      <c r="O89" s="91"/>
      <c r="P89" s="92"/>
      <c r="S89" s="91"/>
      <c r="T89" s="92"/>
      <c r="W89" s="91"/>
      <c r="X89" s="92"/>
      <c r="AA89" s="91"/>
      <c r="AB89" s="92"/>
      <c r="AE89" s="91"/>
      <c r="AF89" s="92"/>
      <c r="AI89" s="91"/>
      <c r="AJ89" s="92"/>
      <c r="AM89" s="91"/>
      <c r="AN89" s="92"/>
      <c r="AQ89" s="91"/>
      <c r="AR89" s="92"/>
      <c r="AU89" s="91"/>
      <c r="AV89" s="92"/>
      <c r="AY89" s="91"/>
      <c r="AZ89" s="92"/>
      <c r="BC89" s="91"/>
      <c r="BD89" s="92"/>
      <c r="BG89" s="91"/>
      <c r="BH89" s="92"/>
      <c r="BK89" s="91"/>
      <c r="BL89" s="92"/>
      <c r="BO89" s="91"/>
      <c r="BP89" s="92"/>
      <c r="BS89" s="91"/>
      <c r="BT89" s="92"/>
      <c r="BW89" s="91"/>
      <c r="BX89" s="92"/>
      <c r="CA89" s="91"/>
      <c r="CB89" s="92"/>
    </row>
    <row r="90" spans="1:82" x14ac:dyDescent="0.2">
      <c r="A90" s="161"/>
      <c r="B90" s="157" t="s">
        <v>277</v>
      </c>
      <c r="C90" s="130" t="e">
        <f t="shared" ref="C90:BN90" si="4">C18/(C9+C12+C13)</f>
        <v>#DIV/0!</v>
      </c>
      <c r="D90" s="131"/>
      <c r="E90" s="130">
        <f t="shared" si="4"/>
        <v>0.59391463283517898</v>
      </c>
      <c r="F90" s="130">
        <f t="shared" si="4"/>
        <v>0.59869848156182215</v>
      </c>
      <c r="G90" s="130" t="e">
        <f t="shared" si="4"/>
        <v>#DIV/0!</v>
      </c>
      <c r="H90" s="131"/>
      <c r="I90" s="130">
        <f t="shared" si="4"/>
        <v>0.25305290869989894</v>
      </c>
      <c r="J90" s="130">
        <f t="shared" si="4"/>
        <v>0.18891272881619064</v>
      </c>
      <c r="K90" s="130" t="e">
        <f t="shared" si="4"/>
        <v>#DIV/0!</v>
      </c>
      <c r="L90" s="131"/>
      <c r="M90" s="130">
        <f t="shared" si="4"/>
        <v>0.76014663524482851</v>
      </c>
      <c r="N90" s="130">
        <f t="shared" si="4"/>
        <v>0.96953642384105965</v>
      </c>
      <c r="O90" s="130" t="e">
        <f t="shared" si="4"/>
        <v>#DIV/0!</v>
      </c>
      <c r="P90" s="131"/>
      <c r="Q90" s="130">
        <f t="shared" si="4"/>
        <v>0.57021123294960896</v>
      </c>
      <c r="R90" s="130">
        <f t="shared" si="4"/>
        <v>0.48793091952912376</v>
      </c>
      <c r="S90" s="130" t="e">
        <f t="shared" si="4"/>
        <v>#DIV/0!</v>
      </c>
      <c r="T90" s="131"/>
      <c r="U90" s="130">
        <f t="shared" si="4"/>
        <v>0.64579488164469978</v>
      </c>
      <c r="V90" s="130">
        <f t="shared" si="4"/>
        <v>1.1654230455350063</v>
      </c>
      <c r="W90" s="130" t="e">
        <f t="shared" si="4"/>
        <v>#DIV/0!</v>
      </c>
      <c r="X90" s="131"/>
      <c r="Y90" s="130">
        <f t="shared" si="4"/>
        <v>-0.14481993825696235</v>
      </c>
      <c r="Z90" s="130">
        <f t="shared" si="4"/>
        <v>0.15652961291664177</v>
      </c>
      <c r="AA90" s="130" t="e">
        <f t="shared" si="4"/>
        <v>#DIV/0!</v>
      </c>
      <c r="AB90" s="131"/>
      <c r="AC90" s="130">
        <f t="shared" si="4"/>
        <v>0.46585161736346103</v>
      </c>
      <c r="AD90" s="130">
        <f t="shared" si="4"/>
        <v>0.64459912738644676</v>
      </c>
      <c r="AE90" s="130" t="e">
        <f t="shared" si="4"/>
        <v>#DIV/0!</v>
      </c>
      <c r="AF90" s="131"/>
      <c r="AG90" s="130">
        <f t="shared" si="4"/>
        <v>0.2483740551942345</v>
      </c>
      <c r="AH90" s="130">
        <f t="shared" si="4"/>
        <v>0.27031408308004051</v>
      </c>
      <c r="AI90" s="130" t="e">
        <f t="shared" si="4"/>
        <v>#DIV/0!</v>
      </c>
      <c r="AJ90" s="131"/>
      <c r="AK90" s="130">
        <f t="shared" si="4"/>
        <v>0.58748868915975128</v>
      </c>
      <c r="AL90" s="130">
        <f t="shared" si="4"/>
        <v>0.74913210780104267</v>
      </c>
      <c r="AM90" s="130" t="e">
        <f t="shared" si="4"/>
        <v>#DIV/0!</v>
      </c>
      <c r="AN90" s="131"/>
      <c r="AO90" s="130">
        <f t="shared" si="4"/>
        <v>0.83162222800361019</v>
      </c>
      <c r="AP90" s="130">
        <f t="shared" si="4"/>
        <v>0.82197935108095344</v>
      </c>
      <c r="AQ90" s="130" t="e">
        <f t="shared" si="4"/>
        <v>#DIV/0!</v>
      </c>
      <c r="AR90" s="131"/>
      <c r="AS90" s="130">
        <f t="shared" si="4"/>
        <v>0.74523311149107463</v>
      </c>
      <c r="AT90" s="130">
        <f t="shared" si="4"/>
        <v>0.19230942488414762</v>
      </c>
      <c r="AU90" s="130" t="e">
        <f t="shared" si="4"/>
        <v>#DIV/0!</v>
      </c>
      <c r="AV90" s="131"/>
      <c r="AW90" s="130">
        <f t="shared" si="4"/>
        <v>0.1985422034308868</v>
      </c>
      <c r="AX90" s="130">
        <f t="shared" si="4"/>
        <v>0.20221015437880907</v>
      </c>
      <c r="AY90" s="130" t="e">
        <f t="shared" si="4"/>
        <v>#DIV/0!</v>
      </c>
      <c r="AZ90" s="131"/>
      <c r="BA90" s="130">
        <f t="shared" si="4"/>
        <v>0.61969960133148905</v>
      </c>
      <c r="BB90" s="130">
        <f t="shared" si="4"/>
        <v>0.51079556845619445</v>
      </c>
      <c r="BC90" s="130" t="e">
        <f t="shared" si="4"/>
        <v>#DIV/0!</v>
      </c>
      <c r="BD90" s="131"/>
      <c r="BE90" s="130">
        <f t="shared" si="4"/>
        <v>0.39038428241499784</v>
      </c>
      <c r="BF90" s="130">
        <f t="shared" si="4"/>
        <v>0.63991579245425267</v>
      </c>
      <c r="BG90" s="130" t="e">
        <f t="shared" si="4"/>
        <v>#DIV/0!</v>
      </c>
      <c r="BH90" s="131"/>
      <c r="BI90" s="130">
        <f t="shared" si="4"/>
        <v>0.62991186882984573</v>
      </c>
      <c r="BJ90" s="130">
        <f t="shared" si="4"/>
        <v>0.51285514386669406</v>
      </c>
      <c r="BK90" s="130" t="e">
        <f t="shared" si="4"/>
        <v>#DIV/0!</v>
      </c>
      <c r="BL90" s="131"/>
      <c r="BM90" s="130">
        <f t="shared" si="4"/>
        <v>0.57250667595495186</v>
      </c>
      <c r="BN90" s="130">
        <f t="shared" si="4"/>
        <v>0.59702369297043278</v>
      </c>
      <c r="BO90" s="130" t="e">
        <f t="shared" ref="BO90:CC90" si="5">BO18/(BO9+BO12+BO13)</f>
        <v>#DIV/0!</v>
      </c>
      <c r="BP90" s="131"/>
      <c r="BQ90" s="130">
        <f t="shared" si="5"/>
        <v>0.84559413348594614</v>
      </c>
      <c r="BR90" s="130">
        <f t="shared" si="5"/>
        <v>0.82399454818842388</v>
      </c>
      <c r="BS90" s="130" t="e">
        <f t="shared" si="5"/>
        <v>#DIV/0!</v>
      </c>
      <c r="BT90" s="131"/>
      <c r="BU90" s="130">
        <f t="shared" si="5"/>
        <v>0.30520660840635888</v>
      </c>
      <c r="BV90" s="130">
        <f t="shared" si="5"/>
        <v>0.37652514105328883</v>
      </c>
      <c r="BW90" s="130" t="e">
        <f t="shared" si="5"/>
        <v>#DIV/0!</v>
      </c>
      <c r="BX90" s="131"/>
      <c r="BY90" s="130">
        <f t="shared" si="5"/>
        <v>0.35730113632561733</v>
      </c>
      <c r="BZ90" s="130">
        <f t="shared" si="5"/>
        <v>0.40841079709359357</v>
      </c>
      <c r="CA90" s="130" t="e">
        <f t="shared" si="5"/>
        <v>#DIV/0!</v>
      </c>
      <c r="CB90" s="131"/>
      <c r="CC90" s="130">
        <f t="shared" si="5"/>
        <v>0.86731751892879805</v>
      </c>
      <c r="CD90" s="177"/>
    </row>
    <row r="91" spans="1:82" x14ac:dyDescent="0.2">
      <c r="A91" s="161"/>
      <c r="B91" s="155" t="s">
        <v>278</v>
      </c>
      <c r="C91" s="130" t="e">
        <f>C18/(C9+C12+C13-C115)</f>
        <v>#DIV/0!</v>
      </c>
      <c r="D91" s="131"/>
      <c r="E91" s="130">
        <f>E18/(E9+E12+E13-E115)</f>
        <v>0.65034141747115615</v>
      </c>
      <c r="F91" s="130">
        <f>F18/(F9+F12+F13-F115)</f>
        <v>0.59869848156182215</v>
      </c>
      <c r="G91" s="130" t="e">
        <f>G18/(G9+G12+G13-G115)</f>
        <v>#DIV/0!</v>
      </c>
      <c r="H91" s="131"/>
      <c r="I91" s="130">
        <f>I18/(I9+I12+I13-I115)</f>
        <v>0.25305290869989894</v>
      </c>
      <c r="J91" s="130">
        <f>J18/(J9+J12+J13-J115)</f>
        <v>0.18891272881619064</v>
      </c>
      <c r="K91" s="130" t="e">
        <f>K18/(K9+K12+K13-K115)</f>
        <v>#DIV/0!</v>
      </c>
      <c r="L91" s="131"/>
      <c r="M91" s="130">
        <f>M18/(M9+M12+M13-M115)</f>
        <v>0.81339310731297287</v>
      </c>
      <c r="N91" s="130">
        <f>N18/(N9+N12+N13-N115)</f>
        <v>0.96953642384105965</v>
      </c>
      <c r="O91" s="130" t="e">
        <f>O18/(O9+O12+O13-O115)</f>
        <v>#DIV/0!</v>
      </c>
      <c r="P91" s="131"/>
      <c r="Q91" s="130">
        <f>Q18/(Q9+Q12+Q13-Q115)</f>
        <v>0.59005930984214816</v>
      </c>
      <c r="R91" s="130">
        <f>R18/(R9+R12+R13-R115)</f>
        <v>0.48793091952912376</v>
      </c>
      <c r="S91" s="130" t="e">
        <f>S18/(S9+S12+S13-S115)</f>
        <v>#DIV/0!</v>
      </c>
      <c r="T91" s="131"/>
      <c r="U91" s="130">
        <f>U18/(U9+U12+U13-U115)</f>
        <v>0.75877600210925156</v>
      </c>
      <c r="V91" s="130">
        <f>V18/(V9+V12+V13-V115)</f>
        <v>1.1654230455350063</v>
      </c>
      <c r="W91" s="130" t="e">
        <f>W18/(W9+W12+W13-W115)</f>
        <v>#DIV/0!</v>
      </c>
      <c r="X91" s="131"/>
      <c r="Y91" s="130">
        <f>Y18/(Y9+Y12+Y13-Y115)</f>
        <v>-0.14481993825696235</v>
      </c>
      <c r="Z91" s="130">
        <f>Z18/(Z9+Z12+Z13-Z115)</f>
        <v>0.15652961291664177</v>
      </c>
      <c r="AA91" s="130" t="e">
        <f>AA18/(AA9+AA12+AA13-AA115)</f>
        <v>#DIV/0!</v>
      </c>
      <c r="AB91" s="131"/>
      <c r="AC91" s="130">
        <f>AC18/(AC9+AC12+AC13-AC115)</f>
        <v>0.49347645936518336</v>
      </c>
      <c r="AD91" s="130">
        <f>AD18/(AD9+AD12+AD13-AD115)</f>
        <v>0.64459912738644676</v>
      </c>
      <c r="AE91" s="130" t="e">
        <f>AE18/(AE9+AE12+AE13-AE115)</f>
        <v>#DIV/0!</v>
      </c>
      <c r="AF91" s="131"/>
      <c r="AG91" s="130">
        <f>AG18/(AG9+AG12+AG13-AG115)</f>
        <v>0.26171513243193184</v>
      </c>
      <c r="AH91" s="130">
        <f>AH18/(AH9+AH12+AH13-AH115)</f>
        <v>0.27031408308004051</v>
      </c>
      <c r="AI91" s="130" t="e">
        <f>AI18/(AI9+AI12+AI13-AI115)</f>
        <v>#DIV/0!</v>
      </c>
      <c r="AJ91" s="131"/>
      <c r="AK91" s="130">
        <f>AK18/(AK9+AK12+AK13-AK115)</f>
        <v>0.62252676553617381</v>
      </c>
      <c r="AL91" s="130">
        <f>AL18/(AL9+AL12+AL13-AL115)</f>
        <v>0.74913210780104267</v>
      </c>
      <c r="AM91" s="130" t="e">
        <f>AM18/(AM9+AM12+AM13-AM115)</f>
        <v>#DIV/0!</v>
      </c>
      <c r="AN91" s="131"/>
      <c r="AO91" s="130">
        <f>AO18/(AO9+AO12+AO13-AO115)</f>
        <v>0.8582886271034107</v>
      </c>
      <c r="AP91" s="130">
        <f>AP18/(AP9+AP12+AP13-AP115)</f>
        <v>0.82197935108095344</v>
      </c>
      <c r="AQ91" s="130" t="e">
        <f>AQ18/(AQ9+AQ12+AQ13-AQ115)</f>
        <v>#DIV/0!</v>
      </c>
      <c r="AR91" s="131"/>
      <c r="AS91" s="130">
        <f>AS18/(AS9+AS12+AS13-AS115)</f>
        <v>0.74523311149107463</v>
      </c>
      <c r="AT91" s="130">
        <f>AT18/(AT9+AT12+AT13-AT115)</f>
        <v>0.19230942488414762</v>
      </c>
      <c r="AU91" s="130" t="e">
        <f>AU18/(AU9+AU12+AU13-AU115)</f>
        <v>#DIV/0!</v>
      </c>
      <c r="AV91" s="131"/>
      <c r="AW91" s="130">
        <f>AW18/(AW9+AW12+AW13-AW115)</f>
        <v>0.19890575361807272</v>
      </c>
      <c r="AX91" s="130">
        <f>AX18/(AX9+AX12+AX13-AX115)</f>
        <v>0.20221015437880907</v>
      </c>
      <c r="AY91" s="130" t="e">
        <f>AY18/(AY9+AY12+AY13-AY115)</f>
        <v>#DIV/0!</v>
      </c>
      <c r="AZ91" s="131"/>
      <c r="BA91" s="130">
        <f>BA18/(BA9+BA12+BA13-BA115)</f>
        <v>0.66691856126939641</v>
      </c>
      <c r="BB91" s="130">
        <f>BB18/(BB9+BB12+BB13-BB115)</f>
        <v>0.51079556845619445</v>
      </c>
      <c r="BC91" s="130" t="e">
        <f>BC18/(BC9+BC12+BC13-BC115)</f>
        <v>#DIV/0!</v>
      </c>
      <c r="BD91" s="131"/>
      <c r="BE91" s="130">
        <f>BE18/(BE9+BE12+BE13-BE115)</f>
        <v>0.4002394651943989</v>
      </c>
      <c r="BF91" s="130">
        <f>BF18/(BF9+BF12+BF13-BF115)</f>
        <v>0.63991579245425267</v>
      </c>
      <c r="BG91" s="130" t="e">
        <f>BG18/(BG9+BG12+BG13-BG115)</f>
        <v>#DIV/0!</v>
      </c>
      <c r="BH91" s="131"/>
      <c r="BI91" s="130">
        <f>BI18/(BI9+BI12+BI13-BI115)</f>
        <v>0.79955551551711113</v>
      </c>
      <c r="BJ91" s="130">
        <f>BJ18/(BJ9+BJ12+BJ13-BJ115)</f>
        <v>0.51285514386669406</v>
      </c>
      <c r="BK91" s="130" t="e">
        <f>BK18/(BK9+BK12+BK13-BK115)</f>
        <v>#DIV/0!</v>
      </c>
      <c r="BL91" s="131"/>
      <c r="BM91" s="130">
        <f>BM18/(BM9+BM12+BM13-BM115)</f>
        <v>0.6419737013409712</v>
      </c>
      <c r="BN91" s="130">
        <f>BN18/(BN9+BN12+BN13-BN115)</f>
        <v>0.59702369297043278</v>
      </c>
      <c r="BO91" s="130" t="e">
        <f>BO18/(BO9+BO12+BO13-BO115)</f>
        <v>#DIV/0!</v>
      </c>
      <c r="BP91" s="131"/>
      <c r="BQ91" s="130" t="e">
        <f>BQ18/(BQ9+BQ12+BQ13-BQ115)</f>
        <v>#DIV/0!</v>
      </c>
      <c r="BR91" s="130">
        <f>BR18/(BR9+BR12+BR13-BR115)</f>
        <v>0.82399454818842388</v>
      </c>
      <c r="BS91" s="130" t="e">
        <f>BS18/(BS9+BS12+BS13-BS115)</f>
        <v>#DIV/0!</v>
      </c>
      <c r="BT91" s="131"/>
      <c r="BU91" s="130">
        <f>BU18/(BU9+BU12+BU13-BU115)</f>
        <v>0.31456639563774841</v>
      </c>
      <c r="BV91" s="130">
        <f>BV18/(BV9+BV12+BV13-BV115)</f>
        <v>0.37652514105328883</v>
      </c>
      <c r="BW91" s="130" t="e">
        <f>BW18/(BW9+BW12+BW13-BW115)</f>
        <v>#DIV/0!</v>
      </c>
      <c r="BX91" s="131"/>
      <c r="BY91" s="130">
        <f>BY18/(BY9+BY12+BY13-BY115)</f>
        <v>0.38837981701342261</v>
      </c>
      <c r="BZ91" s="130">
        <f>BZ18/(BZ9+BZ12+BZ13-BZ115)</f>
        <v>0.40841079709359357</v>
      </c>
      <c r="CA91" s="130" t="e">
        <f>CA18/(CA9+CA12+CA13-CA115)</f>
        <v>#DIV/0!</v>
      </c>
      <c r="CB91" s="131"/>
      <c r="CC91" s="130">
        <f>CC18/(CC9+CC12+CC13-CC115)</f>
        <v>0.86731665827581061</v>
      </c>
      <c r="CD91" s="177"/>
    </row>
    <row r="92" spans="1:82" s="85" customFormat="1" ht="14.25" customHeight="1" x14ac:dyDescent="0.2">
      <c r="A92" s="162"/>
      <c r="B92" s="163"/>
      <c r="C92" s="91"/>
      <c r="D92" s="92"/>
      <c r="G92" s="91"/>
      <c r="H92" s="92"/>
      <c r="K92" s="91"/>
      <c r="L92" s="92"/>
      <c r="O92" s="91"/>
      <c r="P92" s="92"/>
      <c r="S92" s="91"/>
      <c r="T92" s="92"/>
      <c r="W92" s="91"/>
      <c r="X92" s="92"/>
      <c r="AA92" s="91"/>
      <c r="AB92" s="92"/>
      <c r="AE92" s="91"/>
      <c r="AF92" s="92"/>
      <c r="AI92" s="91"/>
      <c r="AJ92" s="92"/>
      <c r="AM92" s="91"/>
      <c r="AN92" s="92"/>
      <c r="AQ92" s="91"/>
      <c r="AR92" s="92"/>
      <c r="AU92" s="91"/>
      <c r="AV92" s="92"/>
      <c r="AY92" s="91"/>
      <c r="AZ92" s="92"/>
      <c r="BC92" s="91"/>
      <c r="BD92" s="92"/>
      <c r="BG92" s="91"/>
      <c r="BH92" s="92"/>
      <c r="BK92" s="91"/>
      <c r="BL92" s="92"/>
      <c r="BO92" s="91"/>
      <c r="BP92" s="92"/>
      <c r="BS92" s="91"/>
      <c r="BT92" s="92"/>
      <c r="BW92" s="91"/>
      <c r="BX92" s="92"/>
      <c r="CA92" s="91"/>
      <c r="CB92" s="92"/>
    </row>
    <row r="93" spans="1:82" s="85" customFormat="1" ht="14.25" customHeight="1" x14ac:dyDescent="0.2">
      <c r="A93" s="148" t="s">
        <v>133</v>
      </c>
      <c r="B93" s="148"/>
      <c r="C93" s="91"/>
      <c r="D93" s="92"/>
      <c r="G93" s="91"/>
      <c r="H93" s="92"/>
      <c r="K93" s="91"/>
      <c r="L93" s="92"/>
      <c r="O93" s="91"/>
      <c r="P93" s="92"/>
      <c r="S93" s="91"/>
      <c r="T93" s="92"/>
      <c r="W93" s="91"/>
      <c r="X93" s="92"/>
      <c r="AA93" s="91"/>
      <c r="AB93" s="92"/>
      <c r="AE93" s="91"/>
      <c r="AF93" s="92"/>
      <c r="AI93" s="91"/>
      <c r="AJ93" s="92"/>
      <c r="AM93" s="91"/>
      <c r="AN93" s="92"/>
      <c r="AQ93" s="91"/>
      <c r="AR93" s="92"/>
      <c r="AU93" s="91"/>
      <c r="AV93" s="92"/>
      <c r="AY93" s="91"/>
      <c r="AZ93" s="92"/>
      <c r="BC93" s="91"/>
      <c r="BD93" s="92"/>
      <c r="BG93" s="91"/>
      <c r="BH93" s="92"/>
      <c r="BK93" s="91"/>
      <c r="BL93" s="92"/>
      <c r="BO93" s="91"/>
      <c r="BP93" s="92"/>
      <c r="BS93" s="91"/>
      <c r="BT93" s="92"/>
      <c r="BW93" s="91"/>
      <c r="BX93" s="92"/>
      <c r="CA93" s="91"/>
      <c r="CB93" s="92"/>
    </row>
    <row r="94" spans="1:82" s="85" customFormat="1" ht="14.25" customHeight="1" x14ac:dyDescent="0.2">
      <c r="A94" s="162"/>
      <c r="B94" s="160" t="s">
        <v>5</v>
      </c>
      <c r="C94" s="164">
        <f t="shared" ref="C94:BN94" si="6">C37</f>
        <v>0</v>
      </c>
      <c r="D94" s="164"/>
      <c r="E94" s="164">
        <f t="shared" si="6"/>
        <v>54343</v>
      </c>
      <c r="F94" s="164">
        <f t="shared" si="6"/>
        <v>43295</v>
      </c>
      <c r="G94" s="164">
        <f t="shared" si="6"/>
        <v>0</v>
      </c>
      <c r="H94" s="164"/>
      <c r="I94" s="164">
        <f t="shared" si="6"/>
        <v>25818.330999999998</v>
      </c>
      <c r="J94" s="164">
        <f t="shared" si="6"/>
        <v>25090.218000000001</v>
      </c>
      <c r="K94" s="164">
        <f t="shared" si="6"/>
        <v>0</v>
      </c>
      <c r="L94" s="164"/>
      <c r="M94" s="164">
        <f t="shared" si="6"/>
        <v>15423</v>
      </c>
      <c r="N94" s="164">
        <f t="shared" si="6"/>
        <v>12286</v>
      </c>
      <c r="O94" s="164">
        <f t="shared" si="6"/>
        <v>0</v>
      </c>
      <c r="P94" s="164"/>
      <c r="Q94" s="164">
        <f t="shared" si="6"/>
        <v>115294.697</v>
      </c>
      <c r="R94" s="164">
        <f t="shared" si="6"/>
        <v>102112.49800000001</v>
      </c>
      <c r="S94" s="164">
        <f t="shared" si="6"/>
        <v>0</v>
      </c>
      <c r="T94" s="164"/>
      <c r="U94" s="164">
        <f t="shared" si="6"/>
        <v>99658.577000000005</v>
      </c>
      <c r="V94" s="164">
        <f t="shared" si="6"/>
        <v>23949.368999999999</v>
      </c>
      <c r="W94" s="164">
        <f t="shared" si="6"/>
        <v>0</v>
      </c>
      <c r="X94" s="164"/>
      <c r="Y94" s="164">
        <f t="shared" si="6"/>
        <v>0</v>
      </c>
      <c r="Z94" s="164">
        <f t="shared" si="6"/>
        <v>0</v>
      </c>
      <c r="AA94" s="164">
        <f t="shared" si="6"/>
        <v>0</v>
      </c>
      <c r="AB94" s="164"/>
      <c r="AC94" s="164">
        <f t="shared" si="6"/>
        <v>806200</v>
      </c>
      <c r="AD94" s="164">
        <f t="shared" si="6"/>
        <v>691795</v>
      </c>
      <c r="AE94" s="164">
        <f t="shared" si="6"/>
        <v>0</v>
      </c>
      <c r="AF94" s="164"/>
      <c r="AG94" s="164">
        <f t="shared" si="6"/>
        <v>99860</v>
      </c>
      <c r="AH94" s="164">
        <f t="shared" si="6"/>
        <v>93505</v>
      </c>
      <c r="AI94" s="164">
        <f t="shared" si="6"/>
        <v>0</v>
      </c>
      <c r="AJ94" s="164"/>
      <c r="AK94" s="164">
        <f t="shared" si="6"/>
        <v>219651.62599999999</v>
      </c>
      <c r="AL94" s="164">
        <f t="shared" si="6"/>
        <v>216638.26800000001</v>
      </c>
      <c r="AM94" s="164">
        <f t="shared" si="6"/>
        <v>0</v>
      </c>
      <c r="AN94" s="164"/>
      <c r="AO94" s="164">
        <f t="shared" si="6"/>
        <v>148184.641</v>
      </c>
      <c r="AP94" s="164">
        <f t="shared" si="6"/>
        <v>123985.921</v>
      </c>
      <c r="AQ94" s="164">
        <f t="shared" si="6"/>
        <v>0</v>
      </c>
      <c r="AR94" s="164"/>
      <c r="AS94" s="164">
        <f t="shared" si="6"/>
        <v>48746.483999999997</v>
      </c>
      <c r="AT94" s="164">
        <f t="shared" si="6"/>
        <v>19688.637999999999</v>
      </c>
      <c r="AU94" s="164">
        <f t="shared" si="6"/>
        <v>0</v>
      </c>
      <c r="AV94" s="164"/>
      <c r="AW94" s="164">
        <f t="shared" si="6"/>
        <v>526206</v>
      </c>
      <c r="AX94" s="164">
        <f t="shared" si="6"/>
        <v>493672</v>
      </c>
      <c r="AY94" s="164">
        <f t="shared" si="6"/>
        <v>0</v>
      </c>
      <c r="AZ94" s="164"/>
      <c r="BA94" s="164">
        <f t="shared" si="6"/>
        <v>5667.9189999999999</v>
      </c>
      <c r="BB94" s="164">
        <f t="shared" si="6"/>
        <v>2334.0819999999999</v>
      </c>
      <c r="BC94" s="164">
        <f t="shared" si="6"/>
        <v>0</v>
      </c>
      <c r="BD94" s="164"/>
      <c r="BE94" s="164">
        <f t="shared" si="6"/>
        <v>83679.213000000003</v>
      </c>
      <c r="BF94" s="164">
        <f t="shared" si="6"/>
        <v>43993.824000000001</v>
      </c>
      <c r="BG94" s="164">
        <f t="shared" si="6"/>
        <v>0</v>
      </c>
      <c r="BH94" s="164"/>
      <c r="BI94" s="164">
        <f t="shared" si="6"/>
        <v>17144.060000000001</v>
      </c>
      <c r="BJ94" s="164">
        <f t="shared" si="6"/>
        <v>11968.846000000001</v>
      </c>
      <c r="BK94" s="164">
        <f t="shared" si="6"/>
        <v>0</v>
      </c>
      <c r="BL94" s="164"/>
      <c r="BM94" s="164">
        <f t="shared" si="6"/>
        <v>157264</v>
      </c>
      <c r="BN94" s="164">
        <f t="shared" si="6"/>
        <v>120109</v>
      </c>
      <c r="BO94" s="164">
        <f t="shared" ref="BO94:CC94" si="7">BO37</f>
        <v>0</v>
      </c>
      <c r="BP94" s="164"/>
      <c r="BQ94" s="164">
        <f t="shared" si="7"/>
        <v>148184.641</v>
      </c>
      <c r="BR94" s="164">
        <f t="shared" si="7"/>
        <v>123985.921</v>
      </c>
      <c r="BS94" s="164">
        <f t="shared" si="7"/>
        <v>0</v>
      </c>
      <c r="BT94" s="164"/>
      <c r="BU94" s="164">
        <f t="shared" si="7"/>
        <v>40698.006999999998</v>
      </c>
      <c r="BV94" s="164">
        <f t="shared" si="7"/>
        <v>23349.904999999999</v>
      </c>
      <c r="BW94" s="164">
        <f t="shared" si="7"/>
        <v>0</v>
      </c>
      <c r="BX94" s="164"/>
      <c r="BY94" s="164">
        <f t="shared" si="7"/>
        <v>46075.862000000001</v>
      </c>
      <c r="BZ94" s="164">
        <f t="shared" si="7"/>
        <v>17972.036</v>
      </c>
      <c r="CA94" s="164">
        <f t="shared" si="7"/>
        <v>0</v>
      </c>
      <c r="CB94" s="164"/>
      <c r="CC94" s="164">
        <f t="shared" si="7"/>
        <v>8065.93</v>
      </c>
    </row>
    <row r="95" spans="1:82" x14ac:dyDescent="0.2">
      <c r="B95" s="157" t="s">
        <v>9</v>
      </c>
      <c r="E95" s="130">
        <f>(E28-F28)/E28/E142</f>
        <v>0.20833416013493403</v>
      </c>
      <c r="F95" s="111"/>
      <c r="I95" s="130">
        <f>(I28-J28)/I28/I142</f>
        <v>7.7428504831472802E-2</v>
      </c>
      <c r="J95" s="111"/>
      <c r="M95" s="130">
        <f>(M28-N28)/M28/M142</f>
        <v>-0.42765432098765432</v>
      </c>
      <c r="N95" s="111"/>
      <c r="Q95" s="130">
        <f>(Q28-R28)/Q28/Q142</f>
        <v>0.12393995501735881</v>
      </c>
      <c r="R95" s="111"/>
      <c r="U95" s="130">
        <f>(U28-V28)/U28/U142</f>
        <v>0.75902804964368364</v>
      </c>
      <c r="V95" s="111"/>
      <c r="Y95" s="130">
        <f>(Y28-Z28)/Y28/Y142</f>
        <v>0.19579177488940736</v>
      </c>
      <c r="Z95" s="111"/>
      <c r="AC95" s="130">
        <f>(AC28-AD28)/AC28/AC142</f>
        <v>0.15406458644881441</v>
      </c>
      <c r="AD95" s="111"/>
      <c r="AG95" s="130">
        <f>(AG28-AH28)/AG28/AG142</f>
        <v>9.3776273286428596E-2</v>
      </c>
      <c r="AH95" s="111"/>
      <c r="AK95" s="130">
        <f>(AK28-AL28)/AK28/AK142</f>
        <v>3.8150984714110402E-2</v>
      </c>
      <c r="AL95" s="111"/>
      <c r="AO95" s="130">
        <f>(AO28-AP28)/AO28/AO142</f>
        <v>0.19702083479874724</v>
      </c>
      <c r="AP95" s="111"/>
      <c r="AS95" s="130">
        <f>(AS28-AT28)/AS28/AS142</f>
        <v>0.59463330221806732</v>
      </c>
      <c r="AT95" s="111"/>
      <c r="AW95" s="130">
        <f>(AW28-AX28)/AW28/AW142</f>
        <v>8.7033920185742769E-2</v>
      </c>
      <c r="AX95" s="111"/>
      <c r="BA95" s="130">
        <f>(BA28-BB28)/BA28/BA142</f>
        <v>0.61778986181595152</v>
      </c>
      <c r="BB95" s="111"/>
      <c r="BE95" s="130">
        <f>(BE28-BF28)/BE28/BE142</f>
        <v>0.53681819514521945</v>
      </c>
      <c r="BF95" s="111"/>
      <c r="BI95" s="130">
        <f>(BI28-BJ28)/BI28/BI142</f>
        <v>0.31798359855202407</v>
      </c>
      <c r="BJ95" s="111"/>
      <c r="BM95" s="130">
        <f>(BM28-BN28)/BM28/BM142</f>
        <v>0.23002531022830991</v>
      </c>
      <c r="BN95" s="111"/>
      <c r="BQ95" s="130" t="e">
        <f>(BQ28-BR28)/BQ28/BQ142</f>
        <v>#DIV/0!</v>
      </c>
      <c r="BR95" s="130">
        <f>(BR28-BQ28)/BR28/BR142</f>
        <v>0.24536232487348211</v>
      </c>
      <c r="BU95" s="130">
        <f>(BU28-BV28)/BU28/BU142</f>
        <v>0.42313803371279707</v>
      </c>
      <c r="BV95" s="111"/>
      <c r="BY95" s="130">
        <f>(BY28-BZ28)/BY28/BY142</f>
        <v>0.60994320317715089</v>
      </c>
      <c r="BZ95" s="111"/>
      <c r="CC95" s="130">
        <f>(CC28-CD28)/CC28/CC142</f>
        <v>-8.0818228606173101E-4</v>
      </c>
      <c r="CD95" s="111"/>
    </row>
    <row r="96" spans="1:82" x14ac:dyDescent="0.2">
      <c r="B96" s="149" t="s">
        <v>279</v>
      </c>
      <c r="C96" s="130" t="e">
        <f t="shared" ref="C96:BN96" si="8">C36/C37</f>
        <v>#DIV/0!</v>
      </c>
      <c r="D96" s="131"/>
      <c r="E96" s="130">
        <f t="shared" si="8"/>
        <v>0.18616933183666709</v>
      </c>
      <c r="F96" s="130">
        <f t="shared" si="8"/>
        <v>8.5159949185818221E-2</v>
      </c>
      <c r="G96" s="130" t="e">
        <f t="shared" si="8"/>
        <v>#DIV/0!</v>
      </c>
      <c r="H96" s="131"/>
      <c r="I96" s="130">
        <f t="shared" si="8"/>
        <v>2.9217186811959305E-2</v>
      </c>
      <c r="J96" s="130">
        <f t="shared" si="8"/>
        <v>7.8301432056110468E-3</v>
      </c>
      <c r="K96" s="130" t="e">
        <f t="shared" si="8"/>
        <v>#DIV/0!</v>
      </c>
      <c r="L96" s="131"/>
      <c r="M96" s="130">
        <f t="shared" si="8"/>
        <v>2.742657070608831E-2</v>
      </c>
      <c r="N96" s="130">
        <f t="shared" si="8"/>
        <v>-1.7092625752889467E-3</v>
      </c>
      <c r="O96" s="130" t="e">
        <f t="shared" si="8"/>
        <v>#DIV/0!</v>
      </c>
      <c r="P96" s="131"/>
      <c r="Q96" s="130">
        <f t="shared" si="8"/>
        <v>8.5300315243466929E-2</v>
      </c>
      <c r="R96" s="130">
        <f t="shared" si="8"/>
        <v>9.2145958470235448E-2</v>
      </c>
      <c r="S96" s="130" t="e">
        <f t="shared" si="8"/>
        <v>#DIV/0!</v>
      </c>
      <c r="T96" s="131"/>
      <c r="U96" s="130">
        <f t="shared" si="8"/>
        <v>8.898060023473946E-3</v>
      </c>
      <c r="V96" s="130">
        <f t="shared" si="8"/>
        <v>1.6994059425949806E-2</v>
      </c>
      <c r="W96" s="130" t="e">
        <f t="shared" si="8"/>
        <v>#DIV/0!</v>
      </c>
      <c r="X96" s="131"/>
      <c r="Y96" s="130" t="e">
        <f t="shared" si="8"/>
        <v>#DIV/0!</v>
      </c>
      <c r="Z96" s="130" t="e">
        <f t="shared" si="8"/>
        <v>#DIV/0!</v>
      </c>
      <c r="AA96" s="130" t="e">
        <f t="shared" si="8"/>
        <v>#DIV/0!</v>
      </c>
      <c r="AB96" s="131"/>
      <c r="AC96" s="130">
        <f t="shared" si="8"/>
        <v>0.11194120565616472</v>
      </c>
      <c r="AD96" s="130">
        <f t="shared" si="8"/>
        <v>0.11877651616447069</v>
      </c>
      <c r="AE96" s="130" t="e">
        <f t="shared" si="8"/>
        <v>#DIV/0!</v>
      </c>
      <c r="AF96" s="131"/>
      <c r="AG96" s="130">
        <f t="shared" si="8"/>
        <v>0.13235529741638294</v>
      </c>
      <c r="AH96" s="130">
        <f t="shared" si="8"/>
        <v>0.12087054168226298</v>
      </c>
      <c r="AI96" s="130" t="e">
        <f t="shared" si="8"/>
        <v>#DIV/0!</v>
      </c>
      <c r="AJ96" s="131"/>
      <c r="AK96" s="130">
        <f t="shared" si="8"/>
        <v>0.12937850048057464</v>
      </c>
      <c r="AL96" s="130">
        <f t="shared" si="8"/>
        <v>0.12017876730809166</v>
      </c>
      <c r="AM96" s="130" t="e">
        <f t="shared" si="8"/>
        <v>#DIV/0!</v>
      </c>
      <c r="AN96" s="131"/>
      <c r="AO96" s="130">
        <f t="shared" si="8"/>
        <v>3.9826941308984919E-2</v>
      </c>
      <c r="AP96" s="130">
        <f t="shared" si="8"/>
        <v>3.8972715297247336E-2</v>
      </c>
      <c r="AQ96" s="130" t="e">
        <f t="shared" si="8"/>
        <v>#DIV/0!</v>
      </c>
      <c r="AR96" s="131"/>
      <c r="AS96" s="130">
        <f t="shared" si="8"/>
        <v>5.6625930190165104E-2</v>
      </c>
      <c r="AT96" s="130">
        <f t="shared" si="8"/>
        <v>0.10286440331728382</v>
      </c>
      <c r="AU96" s="130" t="e">
        <f t="shared" si="8"/>
        <v>#DIV/0!</v>
      </c>
      <c r="AV96" s="131"/>
      <c r="AW96" s="130">
        <f t="shared" si="8"/>
        <v>3.1913357126296546E-2</v>
      </c>
      <c r="AX96" s="130">
        <f t="shared" si="8"/>
        <v>4.5009642029525676E-2</v>
      </c>
      <c r="AY96" s="130" t="e">
        <f t="shared" si="8"/>
        <v>#DIV/0!</v>
      </c>
      <c r="AZ96" s="131"/>
      <c r="BA96" s="130">
        <f t="shared" si="8"/>
        <v>0.15615113765740124</v>
      </c>
      <c r="BB96" s="130">
        <f t="shared" si="8"/>
        <v>0.25855946791929335</v>
      </c>
      <c r="BC96" s="130" t="e">
        <f t="shared" si="8"/>
        <v>#DIV/0!</v>
      </c>
      <c r="BD96" s="131"/>
      <c r="BE96" s="130">
        <f t="shared" si="8"/>
        <v>0.10600257437889622</v>
      </c>
      <c r="BF96" s="130">
        <f t="shared" si="8"/>
        <v>0.12214153059302142</v>
      </c>
      <c r="BG96" s="130" t="e">
        <f t="shared" si="8"/>
        <v>#DIV/0!</v>
      </c>
      <c r="BH96" s="131"/>
      <c r="BI96" s="130">
        <f t="shared" si="8"/>
        <v>9.2715202816602366E-2</v>
      </c>
      <c r="BJ96" s="130">
        <f t="shared" si="8"/>
        <v>8.7279341717655987E-2</v>
      </c>
      <c r="BK96" s="130" t="e">
        <f t="shared" si="8"/>
        <v>#DIV/0!</v>
      </c>
      <c r="BL96" s="131"/>
      <c r="BM96" s="130">
        <f t="shared" si="8"/>
        <v>0.10551047919422119</v>
      </c>
      <c r="BN96" s="130">
        <f t="shared" si="8"/>
        <v>0.10610362254285691</v>
      </c>
      <c r="BO96" s="130" t="e">
        <f t="shared" ref="BO96:CC96" si="9">BO36/BO37</f>
        <v>#DIV/0!</v>
      </c>
      <c r="BP96" s="131"/>
      <c r="BQ96" s="130">
        <f t="shared" si="9"/>
        <v>3.9826941308984919E-2</v>
      </c>
      <c r="BR96" s="130">
        <f t="shared" si="9"/>
        <v>3.8972715297247336E-2</v>
      </c>
      <c r="BS96" s="130" t="e">
        <f t="shared" si="9"/>
        <v>#DIV/0!</v>
      </c>
      <c r="BT96" s="131"/>
      <c r="BU96" s="130">
        <f t="shared" si="9"/>
        <v>0.13129107280363878</v>
      </c>
      <c r="BV96" s="130">
        <f t="shared" si="9"/>
        <v>0.12948982019412927</v>
      </c>
      <c r="BW96" s="130" t="e">
        <f t="shared" si="9"/>
        <v>#DIV/0!</v>
      </c>
      <c r="BX96" s="131"/>
      <c r="BY96" s="130">
        <f t="shared" si="9"/>
        <v>0.11360913877205379</v>
      </c>
      <c r="BZ96" s="130">
        <f t="shared" si="9"/>
        <v>0.1457420294506421</v>
      </c>
      <c r="CA96" s="130" t="e">
        <f t="shared" si="9"/>
        <v>#DIV/0!</v>
      </c>
      <c r="CB96" s="131"/>
      <c r="CC96" s="130">
        <f t="shared" si="9"/>
        <v>5.5825180729314534E-2</v>
      </c>
      <c r="CD96" s="150"/>
    </row>
    <row r="97" spans="1:82" x14ac:dyDescent="0.2">
      <c r="B97" s="157" t="s">
        <v>280</v>
      </c>
      <c r="E97" s="130">
        <f>E28/E30</f>
        <v>0.92735034871096556</v>
      </c>
      <c r="F97" s="150"/>
      <c r="I97" s="130">
        <f>I28/I30</f>
        <v>0.90395618523908472</v>
      </c>
      <c r="J97" s="150"/>
      <c r="M97" s="130">
        <f>M28/M30</f>
        <v>0.52518965181871236</v>
      </c>
      <c r="N97" s="150"/>
      <c r="Q97" s="130">
        <f>Q28/Q30</f>
        <v>0.94549829989145118</v>
      </c>
      <c r="R97" s="150"/>
      <c r="U97" s="130">
        <f>U28/U30</f>
        <v>0.99697481131001897</v>
      </c>
      <c r="V97" s="150"/>
      <c r="Y97" s="130">
        <f>Y28/Y30</f>
        <v>0.96186772399035547</v>
      </c>
      <c r="Z97" s="150"/>
      <c r="AC97" s="130">
        <f>AC28/AC30</f>
        <v>0.95138055073182837</v>
      </c>
      <c r="AD97" s="150"/>
      <c r="AG97" s="130">
        <f>AG28/AG30</f>
        <v>0.90522731824554381</v>
      </c>
      <c r="AH97" s="150"/>
      <c r="AK97" s="130">
        <f>AK28/AK30</f>
        <v>0.9502921822213144</v>
      </c>
      <c r="AL97" s="150"/>
      <c r="AO97" s="130">
        <f>AO28/AO30</f>
        <v>0.8317912650609991</v>
      </c>
      <c r="AP97" s="150"/>
      <c r="AS97" s="130">
        <f>AS28/AS30</f>
        <v>0.99637836443752537</v>
      </c>
      <c r="AT97" s="150"/>
      <c r="AW97" s="130">
        <f>AW28/AW30</f>
        <v>0.9789341056544395</v>
      </c>
      <c r="AX97" s="150"/>
      <c r="BA97" s="130">
        <f>BA28/BA30</f>
        <v>0.81807573467440176</v>
      </c>
      <c r="BB97" s="150"/>
      <c r="BE97" s="130">
        <f>BE28/BE30</f>
        <v>0.95009795323959356</v>
      </c>
      <c r="BF97" s="150"/>
      <c r="BI97" s="130">
        <f>BI28/BI30</f>
        <v>0.93718279100749757</v>
      </c>
      <c r="BJ97" s="150"/>
      <c r="BM97" s="130">
        <f>BM28/BM30</f>
        <v>0.98231635975175502</v>
      </c>
      <c r="BN97" s="150"/>
      <c r="BQ97" s="130">
        <f>BQ28/BQ30</f>
        <v>0.8317912650609991</v>
      </c>
      <c r="BR97" s="130">
        <f>BR28/BR30</f>
        <v>0.79826934543640649</v>
      </c>
      <c r="BU97" s="130">
        <f>BU28/BU30</f>
        <v>0.91158761164889457</v>
      </c>
      <c r="BV97" s="150"/>
      <c r="BY97" s="130">
        <f>BY28/BY30</f>
        <v>0.99937997904412512</v>
      </c>
      <c r="BZ97" s="150"/>
      <c r="CC97" s="130">
        <f>CC28/CC30</f>
        <v>0.49275991733129348</v>
      </c>
      <c r="CD97" s="150"/>
    </row>
    <row r="98" spans="1:82" s="85" customFormat="1" ht="14.25" customHeight="1" x14ac:dyDescent="0.2">
      <c r="A98" s="162"/>
      <c r="B98" s="163"/>
      <c r="C98" s="91"/>
      <c r="D98" s="92"/>
      <c r="G98" s="91"/>
      <c r="H98" s="92"/>
      <c r="K98" s="91"/>
      <c r="L98" s="92"/>
      <c r="O98" s="91"/>
      <c r="P98" s="92"/>
      <c r="S98" s="91"/>
      <c r="T98" s="92"/>
      <c r="W98" s="91"/>
      <c r="X98" s="92"/>
      <c r="AA98" s="91"/>
      <c r="AB98" s="92"/>
      <c r="AE98" s="91"/>
      <c r="AF98" s="92"/>
      <c r="AI98" s="91"/>
      <c r="AJ98" s="92"/>
      <c r="AM98" s="91"/>
      <c r="AN98" s="92"/>
      <c r="AQ98" s="91"/>
      <c r="AR98" s="92"/>
      <c r="AU98" s="91"/>
      <c r="AV98" s="92"/>
      <c r="AY98" s="91"/>
      <c r="AZ98" s="92"/>
      <c r="BC98" s="91"/>
      <c r="BD98" s="92"/>
      <c r="BG98" s="91"/>
      <c r="BH98" s="92"/>
      <c r="BK98" s="91"/>
      <c r="BL98" s="92"/>
      <c r="BO98" s="91"/>
      <c r="BP98" s="92"/>
      <c r="BS98" s="91"/>
      <c r="BT98" s="92"/>
      <c r="BW98" s="91"/>
      <c r="BX98" s="92"/>
      <c r="CA98" s="91"/>
      <c r="CB98" s="92"/>
    </row>
    <row r="99" spans="1:82" s="85" customFormat="1" ht="14.25" customHeight="1" x14ac:dyDescent="0.2">
      <c r="A99" s="148" t="s">
        <v>281</v>
      </c>
      <c r="B99" s="148"/>
      <c r="C99" s="91"/>
      <c r="D99" s="92"/>
      <c r="G99" s="91"/>
      <c r="H99" s="92"/>
      <c r="K99" s="91"/>
      <c r="L99" s="92"/>
      <c r="O99" s="91"/>
      <c r="P99" s="92"/>
      <c r="S99" s="91"/>
      <c r="T99" s="92"/>
      <c r="W99" s="91"/>
      <c r="X99" s="92"/>
      <c r="AA99" s="91"/>
      <c r="AB99" s="92"/>
      <c r="AE99" s="91"/>
      <c r="AF99" s="92"/>
      <c r="AI99" s="91"/>
      <c r="AJ99" s="92"/>
      <c r="AM99" s="91"/>
      <c r="AN99" s="92"/>
      <c r="AQ99" s="91"/>
      <c r="AR99" s="92"/>
      <c r="AU99" s="91"/>
      <c r="AV99" s="92"/>
      <c r="AY99" s="91"/>
      <c r="AZ99" s="92"/>
      <c r="BC99" s="91"/>
      <c r="BD99" s="92"/>
      <c r="BG99" s="91"/>
      <c r="BH99" s="92"/>
      <c r="BK99" s="91"/>
      <c r="BL99" s="92"/>
      <c r="BO99" s="91"/>
      <c r="BP99" s="92"/>
      <c r="BS99" s="91"/>
      <c r="BT99" s="92"/>
      <c r="BW99" s="91"/>
      <c r="BX99" s="92"/>
      <c r="CA99" s="91"/>
      <c r="CB99" s="92"/>
    </row>
    <row r="100" spans="1:82" ht="15" x14ac:dyDescent="0.2">
      <c r="B100" s="165" t="s">
        <v>282</v>
      </c>
      <c r="E100" s="130">
        <f>E57/E28</f>
        <v>9.6835003472566725E-3</v>
      </c>
      <c r="F100" s="150"/>
      <c r="I100" s="130">
        <f>I57/I28</f>
        <v>2.7359948994457255E-2</v>
      </c>
      <c r="J100" s="150"/>
      <c r="M100" s="130">
        <f>M57/M28</f>
        <v>0</v>
      </c>
      <c r="N100" s="150"/>
      <c r="Q100" s="130">
        <f>Q57/Q28</f>
        <v>0</v>
      </c>
      <c r="R100" s="150"/>
      <c r="U100" s="130">
        <f>U57/U28</f>
        <v>4.3826766224466053E-4</v>
      </c>
      <c r="V100" s="150"/>
      <c r="Y100" s="130">
        <f>Y57/Y28</f>
        <v>0</v>
      </c>
      <c r="Z100" s="150"/>
      <c r="AC100" s="130">
        <f>AC57/AC28</f>
        <v>0</v>
      </c>
      <c r="AD100" s="150"/>
      <c r="AG100" s="130">
        <f>AG57/AG28</f>
        <v>0</v>
      </c>
      <c r="AH100" s="150"/>
      <c r="AK100" s="130">
        <f>AK57/AK28</f>
        <v>6.789546865761757E-3</v>
      </c>
      <c r="AL100" s="150"/>
      <c r="AO100" s="130">
        <f>AO57/AO28</f>
        <v>0</v>
      </c>
      <c r="AP100" s="150"/>
      <c r="AS100" s="130">
        <f>AS57/AS28</f>
        <v>0.25573718000322093</v>
      </c>
      <c r="AT100" s="150"/>
      <c r="AW100" s="130">
        <f>AW57/AW28</f>
        <v>0</v>
      </c>
      <c r="AX100" s="150"/>
      <c r="BA100" s="130">
        <f>BA57/BA28</f>
        <v>1.2675371976327574E-2</v>
      </c>
      <c r="BB100" s="150"/>
      <c r="BE100" s="130">
        <f>BE57/BE28</f>
        <v>1.4642886750737067E-2</v>
      </c>
      <c r="BF100" s="150"/>
      <c r="BI100" s="130">
        <f>BI57/BI28</f>
        <v>0</v>
      </c>
      <c r="BJ100" s="150"/>
      <c r="BM100" s="130">
        <f>BM57/BM28</f>
        <v>0</v>
      </c>
      <c r="BN100" s="150"/>
      <c r="BQ100" s="130">
        <f>BQ57/BQ28</f>
        <v>0</v>
      </c>
      <c r="BR100" s="130">
        <f>BR57/BR28</f>
        <v>0</v>
      </c>
      <c r="BU100" s="130">
        <f>BU57/BU28</f>
        <v>0</v>
      </c>
      <c r="BV100" s="150"/>
      <c r="BY100" s="130">
        <f>BY57/BY28</f>
        <v>0</v>
      </c>
      <c r="BZ100" s="150"/>
      <c r="CC100" s="130">
        <f>CC57/CC28</f>
        <v>0.26504874619046553</v>
      </c>
      <c r="CD100" s="150"/>
    </row>
    <row r="101" spans="1:82" ht="15" x14ac:dyDescent="0.2">
      <c r="B101" s="166" t="s">
        <v>283</v>
      </c>
      <c r="E101" s="130">
        <f>E54/SUM(E14+E7)</f>
        <v>2.2728266095546133E-3</v>
      </c>
      <c r="F101" s="150"/>
      <c r="I101" s="130">
        <f>I54/SUM(I14+I7)</f>
        <v>4.9641778301202547E-2</v>
      </c>
      <c r="J101" s="150"/>
      <c r="M101" s="130">
        <f>M54/SUM(M14+M7)</f>
        <v>0</v>
      </c>
      <c r="N101" s="150"/>
      <c r="Q101" s="130">
        <f>Q54/SUM(Q14+Q7)</f>
        <v>0</v>
      </c>
      <c r="R101" s="150"/>
      <c r="U101" s="130">
        <f>U54/SUM(U14+U7)</f>
        <v>0</v>
      </c>
      <c r="V101" s="150"/>
      <c r="Y101" s="130">
        <f>Y54/SUM(Y14+Y7)</f>
        <v>0</v>
      </c>
      <c r="Z101" s="150"/>
      <c r="AC101" s="130">
        <f>AC54/SUM(AC14+AC7)</f>
        <v>7.2037398996513992E-3</v>
      </c>
      <c r="AD101" s="150"/>
      <c r="AG101" s="130">
        <f>AG54/SUM(AG14+AG7)</f>
        <v>0</v>
      </c>
      <c r="AH101" s="150"/>
      <c r="AK101" s="130">
        <f>AK54/SUM(AK14+AK7)</f>
        <v>8.1549124606571335E-2</v>
      </c>
      <c r="AL101" s="150"/>
      <c r="AO101" s="130">
        <f>AO54/SUM(AO14+AO7)</f>
        <v>0</v>
      </c>
      <c r="AP101" s="150"/>
      <c r="AS101" s="130">
        <f>AS54/SUM(AS14+AS7)</f>
        <v>0</v>
      </c>
      <c r="AT101" s="150"/>
      <c r="AW101" s="130">
        <f>AW54/SUM(AW14+AW7)</f>
        <v>0</v>
      </c>
      <c r="AX101" s="150"/>
      <c r="BA101" s="130">
        <f>BA54/SUM(BA14+BA7)</f>
        <v>0</v>
      </c>
      <c r="BB101" s="150"/>
      <c r="BE101" s="130">
        <f>BE54/SUM(BE14+BE7)</f>
        <v>0</v>
      </c>
      <c r="BF101" s="150"/>
      <c r="BI101" s="130">
        <f>BI54/SUM(BI14+BI7)</f>
        <v>0</v>
      </c>
      <c r="BJ101" s="150"/>
      <c r="BM101" s="130">
        <f>BM54/SUM(BM14+BM7)</f>
        <v>8.4283321627316443E-3</v>
      </c>
      <c r="BN101" s="150"/>
      <c r="BQ101" s="130">
        <f>BQ54/SUM(BQ14+BQ7)</f>
        <v>0</v>
      </c>
      <c r="BR101" s="130">
        <f>BR54/SUM(BR14+BR7)</f>
        <v>0</v>
      </c>
      <c r="BU101" s="130">
        <f>BU54/SUM(BU14+BU7)</f>
        <v>4.7946913177729616E-2</v>
      </c>
      <c r="BV101" s="150"/>
      <c r="BY101" s="130">
        <f>BY54/SUM(BY14+BY7)</f>
        <v>0</v>
      </c>
      <c r="BZ101" s="150"/>
      <c r="CC101" s="130">
        <f>CC54/SUM(CC14+CC7)</f>
        <v>0</v>
      </c>
      <c r="CD101" s="150"/>
    </row>
    <row r="102" spans="1:82" s="85" customFormat="1" ht="14.25" customHeight="1" x14ac:dyDescent="0.2">
      <c r="A102" s="162"/>
      <c r="B102" s="163"/>
      <c r="C102" s="91"/>
      <c r="D102" s="92"/>
      <c r="G102" s="91"/>
      <c r="H102" s="92"/>
      <c r="K102" s="91"/>
      <c r="L102" s="92"/>
      <c r="O102" s="91"/>
      <c r="P102" s="92"/>
      <c r="S102" s="91"/>
      <c r="T102" s="92"/>
      <c r="W102" s="91"/>
      <c r="X102" s="92"/>
      <c r="AA102" s="91"/>
      <c r="AB102" s="92"/>
      <c r="AE102" s="91"/>
      <c r="AF102" s="92"/>
      <c r="AI102" s="91"/>
      <c r="AJ102" s="92"/>
      <c r="AM102" s="91"/>
      <c r="AN102" s="92"/>
      <c r="AQ102" s="91"/>
      <c r="AR102" s="92"/>
      <c r="AU102" s="91"/>
      <c r="AV102" s="92"/>
      <c r="AY102" s="91"/>
      <c r="AZ102" s="92"/>
      <c r="BC102" s="91"/>
      <c r="BD102" s="92"/>
      <c r="BG102" s="91"/>
      <c r="BH102" s="92"/>
      <c r="BK102" s="91"/>
      <c r="BL102" s="92"/>
      <c r="BO102" s="91"/>
      <c r="BP102" s="92"/>
      <c r="BS102" s="91"/>
      <c r="BT102" s="92"/>
      <c r="BW102" s="91"/>
      <c r="BX102" s="92"/>
      <c r="CA102" s="91"/>
      <c r="CB102" s="92"/>
    </row>
    <row r="103" spans="1:82" s="85" customFormat="1" ht="14.25" customHeight="1" x14ac:dyDescent="0.2">
      <c r="A103" s="148" t="s">
        <v>144</v>
      </c>
      <c r="B103" s="148"/>
      <c r="C103" s="91"/>
      <c r="D103" s="92"/>
      <c r="G103" s="91"/>
      <c r="H103" s="92"/>
      <c r="K103" s="91"/>
      <c r="L103" s="92"/>
      <c r="O103" s="91"/>
      <c r="P103" s="92"/>
      <c r="S103" s="91"/>
      <c r="T103" s="92"/>
      <c r="W103" s="91"/>
      <c r="X103" s="92"/>
      <c r="AA103" s="91"/>
      <c r="AB103" s="92"/>
      <c r="AE103" s="91"/>
      <c r="AF103" s="92"/>
      <c r="AI103" s="91"/>
      <c r="AJ103" s="92"/>
      <c r="AM103" s="91"/>
      <c r="AN103" s="92"/>
      <c r="AQ103" s="91"/>
      <c r="AR103" s="92"/>
      <c r="AU103" s="91"/>
      <c r="AV103" s="92"/>
      <c r="AY103" s="91"/>
      <c r="AZ103" s="92"/>
      <c r="BC103" s="91"/>
      <c r="BD103" s="92"/>
      <c r="BG103" s="91"/>
      <c r="BH103" s="92"/>
      <c r="BK103" s="91"/>
      <c r="BL103" s="92"/>
      <c r="BO103" s="91"/>
      <c r="BP103" s="92"/>
      <c r="BS103" s="91"/>
      <c r="BT103" s="92"/>
      <c r="BW103" s="91"/>
      <c r="BX103" s="92"/>
      <c r="CA103" s="91"/>
      <c r="CB103" s="92"/>
    </row>
    <row r="104" spans="1:82" s="85" customFormat="1" ht="14.25" customHeight="1" x14ac:dyDescent="0.2">
      <c r="A104" s="162"/>
      <c r="B104" s="167" t="s">
        <v>284</v>
      </c>
      <c r="C104" s="130" t="e">
        <f t="shared" ref="C104:BN104" si="10">C42/C30</f>
        <v>#DIV/0!</v>
      </c>
      <c r="D104" s="131"/>
      <c r="E104" s="130">
        <f t="shared" si="10"/>
        <v>5.8517196327033845E-3</v>
      </c>
      <c r="F104" s="130">
        <f t="shared" si="10"/>
        <v>1.9101512876775608E-2</v>
      </c>
      <c r="G104" s="130" t="e">
        <f t="shared" si="10"/>
        <v>#DIV/0!</v>
      </c>
      <c r="H104" s="131"/>
      <c r="I104" s="130">
        <f t="shared" si="10"/>
        <v>7.7464341130338756E-3</v>
      </c>
      <c r="J104" s="130">
        <f t="shared" si="10"/>
        <v>7.9712340482653438E-3</v>
      </c>
      <c r="K104" s="130" t="e">
        <f t="shared" si="10"/>
        <v>#DIV/0!</v>
      </c>
      <c r="L104" s="131"/>
      <c r="M104" s="130">
        <f t="shared" si="10"/>
        <v>0</v>
      </c>
      <c r="N104" s="130">
        <f t="shared" si="10"/>
        <v>0</v>
      </c>
      <c r="O104" s="130" t="e">
        <f t="shared" si="10"/>
        <v>#DIV/0!</v>
      </c>
      <c r="P104" s="131"/>
      <c r="Q104" s="130">
        <f t="shared" si="10"/>
        <v>1.1034436388691841E-2</v>
      </c>
      <c r="R104" s="130">
        <f t="shared" si="10"/>
        <v>1.0769093123155209E-2</v>
      </c>
      <c r="S104" s="130" t="e">
        <f t="shared" si="10"/>
        <v>#DIV/0!</v>
      </c>
      <c r="T104" s="131"/>
      <c r="U104" s="130">
        <f t="shared" si="10"/>
        <v>0.10435259375618017</v>
      </c>
      <c r="V104" s="130">
        <f t="shared" si="10"/>
        <v>0</v>
      </c>
      <c r="W104" s="130" t="e">
        <f t="shared" si="10"/>
        <v>#DIV/0!</v>
      </c>
      <c r="X104" s="131"/>
      <c r="Y104" s="130">
        <f t="shared" si="10"/>
        <v>0</v>
      </c>
      <c r="Z104" s="130">
        <f t="shared" si="10"/>
        <v>0</v>
      </c>
      <c r="AA104" s="130" t="e">
        <f t="shared" si="10"/>
        <v>#DIV/0!</v>
      </c>
      <c r="AB104" s="131"/>
      <c r="AC104" s="130">
        <f t="shared" si="10"/>
        <v>1.1420243115852146E-2</v>
      </c>
      <c r="AD104" s="130">
        <f t="shared" si="10"/>
        <v>2.0543658164629695E-2</v>
      </c>
      <c r="AE104" s="130" t="e">
        <f t="shared" si="10"/>
        <v>#DIV/0!</v>
      </c>
      <c r="AF104" s="131"/>
      <c r="AG104" s="130">
        <f t="shared" si="10"/>
        <v>1.5021029441217705E-3</v>
      </c>
      <c r="AH104" s="130">
        <f t="shared" si="10"/>
        <v>3.8500614940377518E-3</v>
      </c>
      <c r="AI104" s="130" t="e">
        <f t="shared" si="10"/>
        <v>#DIV/0!</v>
      </c>
      <c r="AJ104" s="131"/>
      <c r="AK104" s="130">
        <f t="shared" si="10"/>
        <v>0</v>
      </c>
      <c r="AL104" s="130">
        <f t="shared" si="10"/>
        <v>0</v>
      </c>
      <c r="AM104" s="130" t="e">
        <f t="shared" si="10"/>
        <v>#DIV/0!</v>
      </c>
      <c r="AN104" s="131"/>
      <c r="AO104" s="130">
        <f t="shared" si="10"/>
        <v>8.7089997403981968E-4</v>
      </c>
      <c r="AP104" s="130">
        <f t="shared" si="10"/>
        <v>1.0392389632690633E-3</v>
      </c>
      <c r="AQ104" s="130" t="e">
        <f t="shared" si="10"/>
        <v>#DIV/0!</v>
      </c>
      <c r="AR104" s="131"/>
      <c r="AS104" s="130">
        <f t="shared" si="10"/>
        <v>0</v>
      </c>
      <c r="AT104" s="130">
        <f t="shared" si="10"/>
        <v>0</v>
      </c>
      <c r="AU104" s="130" t="e">
        <f t="shared" si="10"/>
        <v>#DIV/0!</v>
      </c>
      <c r="AV104" s="131"/>
      <c r="AW104" s="130">
        <f t="shared" si="10"/>
        <v>6.6893954078820839E-4</v>
      </c>
      <c r="AX104" s="130">
        <f t="shared" si="10"/>
        <v>8.7912622145878234E-4</v>
      </c>
      <c r="AY104" s="130" t="e">
        <f t="shared" si="10"/>
        <v>#DIV/0!</v>
      </c>
      <c r="AZ104" s="131"/>
      <c r="BA104" s="130">
        <f t="shared" si="10"/>
        <v>1.3361870556018883E-2</v>
      </c>
      <c r="BB104" s="130">
        <f t="shared" si="10"/>
        <v>7.2928029092379784E-3</v>
      </c>
      <c r="BC104" s="130" t="e">
        <f t="shared" si="10"/>
        <v>#DIV/0!</v>
      </c>
      <c r="BD104" s="131"/>
      <c r="BE104" s="130">
        <f t="shared" si="10"/>
        <v>1.9965531941606573E-4</v>
      </c>
      <c r="BF104" s="130">
        <f t="shared" si="10"/>
        <v>0</v>
      </c>
      <c r="BG104" s="130" t="e">
        <f t="shared" si="10"/>
        <v>#DIV/0!</v>
      </c>
      <c r="BH104" s="131"/>
      <c r="BI104" s="130">
        <f t="shared" si="10"/>
        <v>0.10638355208742853</v>
      </c>
      <c r="BJ104" s="130">
        <f t="shared" si="10"/>
        <v>9.1752872415602954E-2</v>
      </c>
      <c r="BK104" s="130" t="e">
        <f t="shared" si="10"/>
        <v>#DIV/0!</v>
      </c>
      <c r="BL104" s="131"/>
      <c r="BM104" s="130">
        <f t="shared" si="10"/>
        <v>2.3037694577271339E-2</v>
      </c>
      <c r="BN104" s="130">
        <f t="shared" si="10"/>
        <v>2.4311250614025594E-2</v>
      </c>
      <c r="BO104" s="130" t="e">
        <f t="shared" ref="BO104:CC104" si="11">BO42/BO30</f>
        <v>#DIV/0!</v>
      </c>
      <c r="BP104" s="131"/>
      <c r="BQ104" s="130">
        <f t="shared" si="11"/>
        <v>8.7089997403981968E-4</v>
      </c>
      <c r="BR104" s="130">
        <f t="shared" si="11"/>
        <v>1.0392389632690633E-3</v>
      </c>
      <c r="BS104" s="130" t="e">
        <f t="shared" si="11"/>
        <v>#DIV/0!</v>
      </c>
      <c r="BT104" s="131"/>
      <c r="BU104" s="130">
        <f t="shared" si="11"/>
        <v>5.3809760266639107E-3</v>
      </c>
      <c r="BV104" s="130">
        <f t="shared" si="11"/>
        <v>2.2120818050437467E-2</v>
      </c>
      <c r="BW104" s="130" t="e">
        <f t="shared" si="11"/>
        <v>#DIV/0!</v>
      </c>
      <c r="BX104" s="131"/>
      <c r="BY104" s="130">
        <f t="shared" si="11"/>
        <v>1.3827478691554377E-2</v>
      </c>
      <c r="BZ104" s="130">
        <f t="shared" si="11"/>
        <v>0</v>
      </c>
      <c r="CA104" s="130" t="e">
        <f t="shared" si="11"/>
        <v>#DIV/0!</v>
      </c>
      <c r="CB104" s="131"/>
      <c r="CC104" s="130">
        <f t="shared" si="11"/>
        <v>8.0585871684976194E-3</v>
      </c>
    </row>
    <row r="105" spans="1:82" x14ac:dyDescent="0.2">
      <c r="A105" s="74"/>
      <c r="B105" s="168" t="s">
        <v>285</v>
      </c>
      <c r="C105" s="130" t="e">
        <f t="shared" ref="C105:BN105" si="12">C46/C28</f>
        <v>#DIV/0!</v>
      </c>
      <c r="D105" s="131"/>
      <c r="E105" s="130">
        <f t="shared" si="12"/>
        <v>2.4129377914475642E-2</v>
      </c>
      <c r="F105" s="130">
        <f t="shared" si="12"/>
        <v>2.2157609785442151E-2</v>
      </c>
      <c r="G105" s="130" t="e">
        <f t="shared" si="12"/>
        <v>#DIV/0!</v>
      </c>
      <c r="H105" s="131"/>
      <c r="I105" s="130">
        <f t="shared" si="12"/>
        <v>0</v>
      </c>
      <c r="J105" s="130">
        <f t="shared" si="12"/>
        <v>0</v>
      </c>
      <c r="K105" s="130" t="e">
        <f t="shared" si="12"/>
        <v>#DIV/0!</v>
      </c>
      <c r="L105" s="131"/>
      <c r="M105" s="130">
        <f t="shared" si="12"/>
        <v>2.6913580246913579E-2</v>
      </c>
      <c r="N105" s="130">
        <f t="shared" si="12"/>
        <v>2.5942580421999309E-3</v>
      </c>
      <c r="O105" s="130" t="e">
        <f t="shared" si="12"/>
        <v>#DIV/0!</v>
      </c>
      <c r="P105" s="131"/>
      <c r="Q105" s="130">
        <f t="shared" si="12"/>
        <v>2.7520173663303886E-3</v>
      </c>
      <c r="R105" s="130">
        <f t="shared" si="12"/>
        <v>2.0942380088303336E-3</v>
      </c>
      <c r="S105" s="130" t="e">
        <f t="shared" si="12"/>
        <v>#DIV/0!</v>
      </c>
      <c r="T105" s="131"/>
      <c r="U105" s="130">
        <f t="shared" si="12"/>
        <v>6.5752226984986915E-3</v>
      </c>
      <c r="V105" s="130">
        <f t="shared" si="12"/>
        <v>9.2973632577559879E-4</v>
      </c>
      <c r="W105" s="130" t="e">
        <f t="shared" si="12"/>
        <v>#DIV/0!</v>
      </c>
      <c r="X105" s="131"/>
      <c r="Y105" s="130">
        <f t="shared" si="12"/>
        <v>0</v>
      </c>
      <c r="Z105" s="130">
        <f t="shared" si="12"/>
        <v>0</v>
      </c>
      <c r="AA105" s="130" t="e">
        <f t="shared" si="12"/>
        <v>#DIV/0!</v>
      </c>
      <c r="AB105" s="131"/>
      <c r="AC105" s="130">
        <f t="shared" si="12"/>
        <v>1.1138157217116491E-2</v>
      </c>
      <c r="AD105" s="130">
        <f t="shared" si="12"/>
        <v>2.2622084197060886E-2</v>
      </c>
      <c r="AE105" s="130" t="e">
        <f t="shared" si="12"/>
        <v>#DIV/0!</v>
      </c>
      <c r="AF105" s="131"/>
      <c r="AG105" s="130">
        <f t="shared" si="12"/>
        <v>8.4074516571529707E-3</v>
      </c>
      <c r="AH105" s="130">
        <f t="shared" si="12"/>
        <v>8.1788107764987367E-3</v>
      </c>
      <c r="AI105" s="130" t="e">
        <f t="shared" si="12"/>
        <v>#DIV/0!</v>
      </c>
      <c r="AJ105" s="131"/>
      <c r="AK105" s="130">
        <f t="shared" si="12"/>
        <v>5.948176251750782E-3</v>
      </c>
      <c r="AL105" s="130">
        <f t="shared" si="12"/>
        <v>5.9966674776284262E-3</v>
      </c>
      <c r="AM105" s="130" t="e">
        <f t="shared" si="12"/>
        <v>#DIV/0!</v>
      </c>
      <c r="AN105" s="131"/>
      <c r="AO105" s="130">
        <f t="shared" si="12"/>
        <v>1.7848640124278458E-3</v>
      </c>
      <c r="AP105" s="130">
        <f t="shared" si="12"/>
        <v>1.7782419168801229E-3</v>
      </c>
      <c r="AQ105" s="130" t="e">
        <f t="shared" si="12"/>
        <v>#DIV/0!</v>
      </c>
      <c r="AR105" s="131"/>
      <c r="AS105" s="130">
        <f t="shared" si="12"/>
        <v>0</v>
      </c>
      <c r="AT105" s="130">
        <f t="shared" si="12"/>
        <v>0</v>
      </c>
      <c r="AU105" s="130" t="e">
        <f t="shared" si="12"/>
        <v>#DIV/0!</v>
      </c>
      <c r="AV105" s="131"/>
      <c r="AW105" s="130">
        <f t="shared" si="12"/>
        <v>5.5753890833415837E-3</v>
      </c>
      <c r="AX105" s="130">
        <f t="shared" si="12"/>
        <v>6.1047698431599363E-3</v>
      </c>
      <c r="AY105" s="130" t="e">
        <f t="shared" si="12"/>
        <v>#DIV/0!</v>
      </c>
      <c r="AZ105" s="131"/>
      <c r="BA105" s="130">
        <f t="shared" si="12"/>
        <v>1.0100959996652854E-2</v>
      </c>
      <c r="BB105" s="130">
        <f t="shared" si="12"/>
        <v>1.0100850511813668E-2</v>
      </c>
      <c r="BC105" s="130" t="e">
        <f t="shared" si="12"/>
        <v>#DIV/0!</v>
      </c>
      <c r="BD105" s="131"/>
      <c r="BE105" s="130">
        <f t="shared" si="12"/>
        <v>7.9241845218564041E-4</v>
      </c>
      <c r="BF105" s="130">
        <f t="shared" si="12"/>
        <v>0</v>
      </c>
      <c r="BG105" s="130" t="e">
        <f t="shared" si="12"/>
        <v>#DIV/0!</v>
      </c>
      <c r="BH105" s="131"/>
      <c r="BI105" s="130">
        <f t="shared" si="12"/>
        <v>3.047939275730719E-2</v>
      </c>
      <c r="BJ105" s="130">
        <f t="shared" si="12"/>
        <v>4.0664670080538139E-2</v>
      </c>
      <c r="BK105" s="130" t="e">
        <f t="shared" si="12"/>
        <v>#DIV/0!</v>
      </c>
      <c r="BL105" s="131"/>
      <c r="BM105" s="130">
        <f t="shared" si="12"/>
        <v>9.5738689694011645E-3</v>
      </c>
      <c r="BN105" s="130">
        <f t="shared" si="12"/>
        <v>1.0382688233513805E-2</v>
      </c>
      <c r="BO105" s="130" t="e">
        <f t="shared" ref="BO105:CC105" si="13">BO46/BO28</f>
        <v>#DIV/0!</v>
      </c>
      <c r="BP105" s="131"/>
      <c r="BQ105" s="130">
        <f t="shared" si="13"/>
        <v>1.7848640124278458E-3</v>
      </c>
      <c r="BR105" s="130">
        <f t="shared" si="13"/>
        <v>1.7782419168801229E-3</v>
      </c>
      <c r="BS105" s="130" t="e">
        <f t="shared" si="13"/>
        <v>#DIV/0!</v>
      </c>
      <c r="BT105" s="131"/>
      <c r="BU105" s="130">
        <f t="shared" si="13"/>
        <v>1.0107871473912839E-2</v>
      </c>
      <c r="BV105" s="130">
        <f t="shared" si="13"/>
        <v>1.0092767957031722E-2</v>
      </c>
      <c r="BW105" s="130" t="e">
        <f t="shared" si="13"/>
        <v>#DIV/0!</v>
      </c>
      <c r="BX105" s="131"/>
      <c r="BY105" s="130">
        <f t="shared" si="13"/>
        <v>9.6767466943877313E-3</v>
      </c>
      <c r="BZ105" s="130">
        <f t="shared" si="13"/>
        <v>8.1629369313392409E-3</v>
      </c>
      <c r="CA105" s="130" t="e">
        <f t="shared" si="13"/>
        <v>#DIV/0!</v>
      </c>
      <c r="CB105" s="131"/>
      <c r="CC105" s="130">
        <f t="shared" si="13"/>
        <v>0.44608632839753359</v>
      </c>
      <c r="CD105" s="120"/>
    </row>
    <row r="106" spans="1:82" x14ac:dyDescent="0.2">
      <c r="B106" s="166" t="s">
        <v>286</v>
      </c>
      <c r="C106" s="130" t="e">
        <f t="shared" ref="C106:BN106" si="14">C45/C28</f>
        <v>#DIV/0!</v>
      </c>
      <c r="D106" s="131"/>
      <c r="E106" s="130">
        <f t="shared" si="14"/>
        <v>2.4129377914475642E-2</v>
      </c>
      <c r="F106" s="130">
        <f t="shared" si="14"/>
        <v>1.8523160216563063E-2</v>
      </c>
      <c r="G106" s="130" t="e">
        <f t="shared" si="14"/>
        <v>#DIV/0!</v>
      </c>
      <c r="H106" s="131"/>
      <c r="I106" s="130">
        <f t="shared" si="14"/>
        <v>0</v>
      </c>
      <c r="J106" s="130">
        <f t="shared" si="14"/>
        <v>0</v>
      </c>
      <c r="K106" s="130" t="e">
        <f t="shared" si="14"/>
        <v>#DIV/0!</v>
      </c>
      <c r="L106" s="131"/>
      <c r="M106" s="130">
        <f t="shared" si="14"/>
        <v>2.4320987654320989E-2</v>
      </c>
      <c r="N106" s="130">
        <f t="shared" si="14"/>
        <v>2.5942580421999309E-3</v>
      </c>
      <c r="O106" s="130" t="e">
        <f t="shared" si="14"/>
        <v>#DIV/0!</v>
      </c>
      <c r="P106" s="131"/>
      <c r="Q106" s="130">
        <f t="shared" si="14"/>
        <v>2.7520173663303886E-3</v>
      </c>
      <c r="R106" s="130">
        <f t="shared" si="14"/>
        <v>2.0942380088303336E-3</v>
      </c>
      <c r="S106" s="130" t="e">
        <f t="shared" si="14"/>
        <v>#DIV/0!</v>
      </c>
      <c r="T106" s="131"/>
      <c r="U106" s="130">
        <f t="shared" si="14"/>
        <v>4.0590459718672723E-3</v>
      </c>
      <c r="V106" s="130">
        <f t="shared" si="14"/>
        <v>9.2973632577559879E-4</v>
      </c>
      <c r="W106" s="130" t="e">
        <f t="shared" si="14"/>
        <v>#DIV/0!</v>
      </c>
      <c r="X106" s="131"/>
      <c r="Y106" s="130">
        <f t="shared" si="14"/>
        <v>0</v>
      </c>
      <c r="Z106" s="130">
        <f t="shared" si="14"/>
        <v>0</v>
      </c>
      <c r="AA106" s="130" t="e">
        <f t="shared" si="14"/>
        <v>#DIV/0!</v>
      </c>
      <c r="AB106" s="131"/>
      <c r="AC106" s="130">
        <f t="shared" si="14"/>
        <v>9.0312554188184402E-3</v>
      </c>
      <c r="AD106" s="130">
        <f t="shared" si="14"/>
        <v>9.2766265691585689E-3</v>
      </c>
      <c r="AE106" s="130" t="e">
        <f t="shared" si="14"/>
        <v>#DIV/0!</v>
      </c>
      <c r="AF106" s="131"/>
      <c r="AG106" s="130">
        <f t="shared" si="14"/>
        <v>8.4074516571529707E-3</v>
      </c>
      <c r="AH106" s="130">
        <f t="shared" si="14"/>
        <v>8.1788107764987367E-3</v>
      </c>
      <c r="AI106" s="130" t="e">
        <f t="shared" si="14"/>
        <v>#DIV/0!</v>
      </c>
      <c r="AJ106" s="131"/>
      <c r="AK106" s="130">
        <f t="shared" si="14"/>
        <v>5.948176251750782E-3</v>
      </c>
      <c r="AL106" s="130">
        <f t="shared" si="14"/>
        <v>5.9966674776284262E-3</v>
      </c>
      <c r="AM106" s="130" t="e">
        <f t="shared" si="14"/>
        <v>#DIV/0!</v>
      </c>
      <c r="AN106" s="131"/>
      <c r="AO106" s="130">
        <f t="shared" si="14"/>
        <v>1.2007266992696418E-3</v>
      </c>
      <c r="AP106" s="130">
        <f t="shared" si="14"/>
        <v>1.2528522596200868E-3</v>
      </c>
      <c r="AQ106" s="130" t="e">
        <f t="shared" si="14"/>
        <v>#DIV/0!</v>
      </c>
      <c r="AR106" s="131"/>
      <c r="AS106" s="130">
        <f t="shared" si="14"/>
        <v>0</v>
      </c>
      <c r="AT106" s="130">
        <f t="shared" si="14"/>
        <v>0</v>
      </c>
      <c r="AU106" s="130" t="e">
        <f t="shared" si="14"/>
        <v>#DIV/0!</v>
      </c>
      <c r="AV106" s="131"/>
      <c r="AW106" s="130">
        <f t="shared" si="14"/>
        <v>5.5753890833415837E-3</v>
      </c>
      <c r="AX106" s="130">
        <f t="shared" si="14"/>
        <v>6.0898853468512914E-3</v>
      </c>
      <c r="AY106" s="130" t="e">
        <f t="shared" si="14"/>
        <v>#DIV/0!</v>
      </c>
      <c r="AZ106" s="131"/>
      <c r="BA106" s="130">
        <f t="shared" si="14"/>
        <v>0</v>
      </c>
      <c r="BB106" s="130">
        <f t="shared" si="14"/>
        <v>0</v>
      </c>
      <c r="BC106" s="130" t="e">
        <f t="shared" si="14"/>
        <v>#DIV/0!</v>
      </c>
      <c r="BD106" s="131"/>
      <c r="BE106" s="130">
        <f t="shared" si="14"/>
        <v>7.9241845218564041E-4</v>
      </c>
      <c r="BF106" s="130">
        <f t="shared" si="14"/>
        <v>0</v>
      </c>
      <c r="BG106" s="130" t="e">
        <f t="shared" si="14"/>
        <v>#DIV/0!</v>
      </c>
      <c r="BH106" s="131"/>
      <c r="BI106" s="130">
        <f t="shared" si="14"/>
        <v>1.0411076834065698E-2</v>
      </c>
      <c r="BJ106" s="130">
        <f t="shared" si="14"/>
        <v>1.6973841485127171E-2</v>
      </c>
      <c r="BK106" s="130" t="e">
        <f t="shared" si="14"/>
        <v>#DIV/0!</v>
      </c>
      <c r="BL106" s="131"/>
      <c r="BM106" s="130">
        <f t="shared" si="14"/>
        <v>8.5187366894739231E-3</v>
      </c>
      <c r="BN106" s="130">
        <f t="shared" si="14"/>
        <v>8.6844671621212639E-3</v>
      </c>
      <c r="BO106" s="130" t="e">
        <f t="shared" ref="BO106:CC106" si="15">BO45/BO28</f>
        <v>#DIV/0!</v>
      </c>
      <c r="BP106" s="131"/>
      <c r="BQ106" s="130">
        <f t="shared" si="15"/>
        <v>1.2007266992696418E-3</v>
      </c>
      <c r="BR106" s="130">
        <f t="shared" si="15"/>
        <v>1.2528522596200868E-3</v>
      </c>
      <c r="BS106" s="130" t="e">
        <f t="shared" si="15"/>
        <v>#DIV/0!</v>
      </c>
      <c r="BT106" s="131"/>
      <c r="BU106" s="130">
        <f t="shared" si="15"/>
        <v>1.0107871473912839E-2</v>
      </c>
      <c r="BV106" s="130">
        <f t="shared" si="15"/>
        <v>1.0092767957031722E-2</v>
      </c>
      <c r="BW106" s="130" t="e">
        <f t="shared" si="15"/>
        <v>#DIV/0!</v>
      </c>
      <c r="BX106" s="131"/>
      <c r="BY106" s="130">
        <f t="shared" si="15"/>
        <v>9.6767466943877313E-3</v>
      </c>
      <c r="BZ106" s="130">
        <f t="shared" si="15"/>
        <v>8.1629369313392409E-3</v>
      </c>
      <c r="CA106" s="130" t="e">
        <f t="shared" si="15"/>
        <v>#DIV/0!</v>
      </c>
      <c r="CB106" s="131"/>
      <c r="CC106" s="130">
        <f t="shared" si="15"/>
        <v>0</v>
      </c>
      <c r="CD106" s="120"/>
    </row>
    <row r="107" spans="1:82" x14ac:dyDescent="0.2">
      <c r="B107" s="165" t="s">
        <v>7</v>
      </c>
      <c r="E107" s="130">
        <f>E115/E121</f>
        <v>3.5751071535368974E-2</v>
      </c>
      <c r="F107" s="120"/>
      <c r="I107" s="130">
        <f>I115/I121</f>
        <v>0</v>
      </c>
      <c r="J107" s="120"/>
      <c r="M107" s="130">
        <f>M115/M121</f>
        <v>2.5427176566314078E-2</v>
      </c>
      <c r="N107" s="120"/>
      <c r="Q107" s="130">
        <f>Q115/Q121</f>
        <v>9.7794217681195536E-4</v>
      </c>
      <c r="R107" s="120"/>
      <c r="U107" s="130">
        <f>U115/U121</f>
        <v>1.0235819304273292E-2</v>
      </c>
      <c r="V107" s="120"/>
      <c r="Y107" s="130">
        <f>Y115/Y121</f>
        <v>0</v>
      </c>
      <c r="Z107" s="120"/>
      <c r="AC107" s="130">
        <f>AC115/AC121</f>
        <v>4.3465424716669565E-3</v>
      </c>
      <c r="AD107" s="120"/>
      <c r="AG107" s="130">
        <f>AG115/AG121</f>
        <v>3.3659286771319965E-3</v>
      </c>
      <c r="AH107" s="120"/>
      <c r="AK107" s="130">
        <f>AK115/AK121</f>
        <v>2.732570491999342E-3</v>
      </c>
      <c r="AL107" s="120"/>
      <c r="AO107" s="130">
        <f>AO115/AO121</f>
        <v>9.715755344000674E-4</v>
      </c>
      <c r="AP107" s="120"/>
      <c r="AS107" s="130">
        <f>AS115/AS121</f>
        <v>0</v>
      </c>
      <c r="AT107" s="120"/>
      <c r="AW107" s="130">
        <f>AW115/AW121</f>
        <v>1.6845797024382769E-4</v>
      </c>
      <c r="AX107" s="120"/>
      <c r="BA107" s="130">
        <f>BA115/BA121</f>
        <v>1.2491781107047044E-2</v>
      </c>
      <c r="BB107" s="120"/>
      <c r="BE107" s="130">
        <f>BE115/BE121</f>
        <v>1.0831442129152053E-3</v>
      </c>
      <c r="BF107" s="120"/>
      <c r="BI107" s="130">
        <f>BI115/BI121</f>
        <v>6.9026280551350017E-2</v>
      </c>
      <c r="BJ107" s="120"/>
      <c r="BM107" s="130">
        <f>BM115/BM121</f>
        <v>6.8170763373575048E-3</v>
      </c>
      <c r="BN107" s="120"/>
      <c r="BQ107" s="130" t="e">
        <f>BQ115/BQ121</f>
        <v>#DIV/0!</v>
      </c>
      <c r="BR107" s="120"/>
      <c r="BU107" s="130">
        <f>BU115/BU121</f>
        <v>5.4205326373984904E-3</v>
      </c>
      <c r="BV107" s="120"/>
      <c r="BY107" s="130">
        <f>BY115/BY121</f>
        <v>9.34168686793602E-3</v>
      </c>
      <c r="BZ107" s="120"/>
      <c r="CC107" s="130">
        <f>CC115/CC121</f>
        <v>-8.0700135119025672E-7</v>
      </c>
      <c r="CD107" s="120"/>
    </row>
    <row r="108" spans="1:82" x14ac:dyDescent="0.2">
      <c r="B108" s="166" t="s">
        <v>287</v>
      </c>
      <c r="C108" s="130" t="e">
        <f t="shared" ref="C108:BN108" si="16">C116/C121/C$142</f>
        <v>#DIV/0!</v>
      </c>
      <c r="D108" s="131"/>
      <c r="E108" s="130">
        <f t="shared" si="16"/>
        <v>2.8397071690423187E-2</v>
      </c>
      <c r="F108" s="130" t="e">
        <f t="shared" si="16"/>
        <v>#DIV/0!</v>
      </c>
      <c r="G108" s="130" t="e">
        <f t="shared" si="16"/>
        <v>#DIV/0!</v>
      </c>
      <c r="H108" s="131"/>
      <c r="I108" s="130">
        <f t="shared" si="16"/>
        <v>0</v>
      </c>
      <c r="J108" s="130" t="e">
        <f t="shared" si="16"/>
        <v>#DIV/0!</v>
      </c>
      <c r="K108" s="130" t="e">
        <f t="shared" si="16"/>
        <v>#DIV/0!</v>
      </c>
      <c r="L108" s="131"/>
      <c r="M108" s="130">
        <f t="shared" si="16"/>
        <v>6.2042310821806348E-3</v>
      </c>
      <c r="N108" s="130" t="e">
        <f t="shared" si="16"/>
        <v>#DIV/0!</v>
      </c>
      <c r="O108" s="130" t="e">
        <f t="shared" si="16"/>
        <v>#DIV/0!</v>
      </c>
      <c r="P108" s="131"/>
      <c r="Q108" s="130">
        <f t="shared" si="16"/>
        <v>0</v>
      </c>
      <c r="R108" s="130" t="e">
        <f t="shared" si="16"/>
        <v>#DIV/0!</v>
      </c>
      <c r="S108" s="130" t="e">
        <f t="shared" si="16"/>
        <v>#DIV/0!</v>
      </c>
      <c r="T108" s="131"/>
      <c r="U108" s="130">
        <f t="shared" si="16"/>
        <v>0</v>
      </c>
      <c r="V108" s="130" t="e">
        <f t="shared" si="16"/>
        <v>#DIV/0!</v>
      </c>
      <c r="W108" s="130" t="e">
        <f t="shared" si="16"/>
        <v>#DIV/0!</v>
      </c>
      <c r="X108" s="131"/>
      <c r="Y108" s="130">
        <f t="shared" si="16"/>
        <v>0</v>
      </c>
      <c r="Z108" s="130" t="e">
        <f t="shared" si="16"/>
        <v>#DIV/0!</v>
      </c>
      <c r="AA108" s="130" t="e">
        <f t="shared" si="16"/>
        <v>#DIV/0!</v>
      </c>
      <c r="AB108" s="131"/>
      <c r="AC108" s="130">
        <f t="shared" si="16"/>
        <v>1.3014200777207562E-2</v>
      </c>
      <c r="AD108" s="130" t="e">
        <f t="shared" si="16"/>
        <v>#DIV/0!</v>
      </c>
      <c r="AE108" s="130" t="e">
        <f t="shared" si="16"/>
        <v>#DIV/0!</v>
      </c>
      <c r="AF108" s="131"/>
      <c r="AG108" s="130">
        <f t="shared" si="16"/>
        <v>1.2767315671879987E-3</v>
      </c>
      <c r="AH108" s="130" t="e">
        <f t="shared" si="16"/>
        <v>#DIV/0!</v>
      </c>
      <c r="AI108" s="130" t="e">
        <f t="shared" si="16"/>
        <v>#DIV/0!</v>
      </c>
      <c r="AJ108" s="131"/>
      <c r="AK108" s="130">
        <f t="shared" si="16"/>
        <v>2.5487769971970029E-3</v>
      </c>
      <c r="AL108" s="130" t="e">
        <f t="shared" si="16"/>
        <v>#DIV/0!</v>
      </c>
      <c r="AM108" s="130" t="e">
        <f t="shared" si="16"/>
        <v>#DIV/0!</v>
      </c>
      <c r="AN108" s="131"/>
      <c r="AO108" s="130">
        <f t="shared" si="16"/>
        <v>1.0761685322399456E-4</v>
      </c>
      <c r="AP108" s="130" t="e">
        <f t="shared" si="16"/>
        <v>#DIV/0!</v>
      </c>
      <c r="AQ108" s="130" t="e">
        <f t="shared" si="16"/>
        <v>#DIV/0!</v>
      </c>
      <c r="AR108" s="131"/>
      <c r="AS108" s="130">
        <f t="shared" si="16"/>
        <v>0</v>
      </c>
      <c r="AT108" s="130" t="e">
        <f t="shared" si="16"/>
        <v>#DIV/0!</v>
      </c>
      <c r="AU108" s="130" t="e">
        <f t="shared" si="16"/>
        <v>#DIV/0!</v>
      </c>
      <c r="AV108" s="131"/>
      <c r="AW108" s="130">
        <f t="shared" si="16"/>
        <v>-1.5222105744924189E-4</v>
      </c>
      <c r="AX108" s="130" t="e">
        <f t="shared" si="16"/>
        <v>#DIV/0!</v>
      </c>
      <c r="AY108" s="130" t="e">
        <f t="shared" si="16"/>
        <v>#DIV/0!</v>
      </c>
      <c r="AZ108" s="131"/>
      <c r="BA108" s="130">
        <f t="shared" si="16"/>
        <v>3.4623110512787148E-3</v>
      </c>
      <c r="BB108" s="130" t="e">
        <f t="shared" si="16"/>
        <v>#DIV/0!</v>
      </c>
      <c r="BC108" s="130" t="e">
        <f t="shared" si="16"/>
        <v>#DIV/0!</v>
      </c>
      <c r="BD108" s="131"/>
      <c r="BE108" s="130">
        <f t="shared" si="16"/>
        <v>1.0831442129152053E-3</v>
      </c>
      <c r="BF108" s="130" t="e">
        <f t="shared" si="16"/>
        <v>#DIV/0!</v>
      </c>
      <c r="BG108" s="130" t="e">
        <f t="shared" si="16"/>
        <v>#DIV/0!</v>
      </c>
      <c r="BH108" s="131"/>
      <c r="BI108" s="130">
        <f t="shared" si="16"/>
        <v>6.5761840560698337E-2</v>
      </c>
      <c r="BJ108" s="130" t="e">
        <f t="shared" si="16"/>
        <v>#DIV/0!</v>
      </c>
      <c r="BK108" s="130" t="e">
        <f t="shared" si="16"/>
        <v>#DIV/0!</v>
      </c>
      <c r="BL108" s="131"/>
      <c r="BM108" s="130">
        <f t="shared" si="16"/>
        <v>5.0323481975342961E-3</v>
      </c>
      <c r="BN108" s="130" t="e">
        <f t="shared" si="16"/>
        <v>#DIV/0!</v>
      </c>
      <c r="BO108" s="130" t="e">
        <f t="shared" ref="BO108:CC108" si="17">BO116/BO121/BO$142</f>
        <v>#DIV/0!</v>
      </c>
      <c r="BP108" s="131"/>
      <c r="BQ108" s="130" t="e">
        <f t="shared" si="17"/>
        <v>#DIV/0!</v>
      </c>
      <c r="BR108" s="130" t="e">
        <f t="shared" si="17"/>
        <v>#REF!</v>
      </c>
      <c r="BS108" s="130" t="e">
        <f t="shared" si="17"/>
        <v>#DIV/0!</v>
      </c>
      <c r="BT108" s="131"/>
      <c r="BU108" s="130">
        <f t="shared" si="17"/>
        <v>0</v>
      </c>
      <c r="BV108" s="130" t="e">
        <f t="shared" si="17"/>
        <v>#DIV/0!</v>
      </c>
      <c r="BW108" s="130" t="e">
        <f t="shared" si="17"/>
        <v>#DIV/0!</v>
      </c>
      <c r="BX108" s="131"/>
      <c r="BY108" s="130">
        <f t="shared" si="17"/>
        <v>0</v>
      </c>
      <c r="BZ108" s="130" t="e">
        <f t="shared" si="17"/>
        <v>#DIV/0!</v>
      </c>
      <c r="CA108" s="130" t="e">
        <f t="shared" si="17"/>
        <v>#DIV/0!</v>
      </c>
      <c r="CB108" s="131"/>
      <c r="CC108" s="130">
        <f t="shared" si="17"/>
        <v>0</v>
      </c>
      <c r="CD108" s="150"/>
    </row>
    <row r="109" spans="1:82" x14ac:dyDescent="0.2">
      <c r="B109" s="169" t="s">
        <v>288</v>
      </c>
      <c r="C109" s="130" t="e">
        <f t="shared" ref="C109:BN109" si="18">(C16+C17-C11)/C9</f>
        <v>#DIV/0!</v>
      </c>
      <c r="D109" s="131"/>
      <c r="E109" s="130">
        <f t="shared" si="18"/>
        <v>0.17693488270116203</v>
      </c>
      <c r="F109" s="130">
        <f t="shared" si="18"/>
        <v>0.2200295094061232</v>
      </c>
      <c r="G109" s="130" t="e">
        <f t="shared" si="18"/>
        <v>#DIV/0!</v>
      </c>
      <c r="H109" s="131"/>
      <c r="I109" s="130">
        <f t="shared" si="18"/>
        <v>0</v>
      </c>
      <c r="J109" s="130">
        <f t="shared" si="18"/>
        <v>0.41709692003176096</v>
      </c>
      <c r="K109" s="130" t="e">
        <f t="shared" si="18"/>
        <v>#DIV/0!</v>
      </c>
      <c r="L109" s="131"/>
      <c r="M109" s="130">
        <f t="shared" si="18"/>
        <v>0.15375153751537515</v>
      </c>
      <c r="N109" s="130">
        <f t="shared" si="18"/>
        <v>0.19607843137254902</v>
      </c>
      <c r="O109" s="130" t="e">
        <f t="shared" si="18"/>
        <v>#DIV/0!</v>
      </c>
      <c r="P109" s="131"/>
      <c r="Q109" s="130">
        <f t="shared" si="18"/>
        <v>5.9542310170183861E-2</v>
      </c>
      <c r="R109" s="130">
        <f t="shared" si="18"/>
        <v>5.7221201141677364E-2</v>
      </c>
      <c r="S109" s="130" t="e">
        <f t="shared" si="18"/>
        <v>#DIV/0!</v>
      </c>
      <c r="T109" s="131"/>
      <c r="U109" s="130">
        <f t="shared" si="18"/>
        <v>0.55193691999545169</v>
      </c>
      <c r="V109" s="130">
        <f t="shared" si="18"/>
        <v>0.84382107657316174</v>
      </c>
      <c r="W109" s="130" t="e">
        <f t="shared" si="18"/>
        <v>#DIV/0!</v>
      </c>
      <c r="X109" s="131"/>
      <c r="Y109" s="130">
        <f t="shared" si="18"/>
        <v>0</v>
      </c>
      <c r="Z109" s="130">
        <f t="shared" si="18"/>
        <v>0</v>
      </c>
      <c r="AA109" s="130" t="e">
        <f t="shared" si="18"/>
        <v>#DIV/0!</v>
      </c>
      <c r="AB109" s="131"/>
      <c r="AC109" s="130">
        <f t="shared" si="18"/>
        <v>8.283529855166101E-2</v>
      </c>
      <c r="AD109" s="130">
        <f t="shared" si="18"/>
        <v>8.8054749066777266E-2</v>
      </c>
      <c r="AE109" s="130" t="e">
        <f t="shared" si="18"/>
        <v>#DIV/0!</v>
      </c>
      <c r="AF109" s="131"/>
      <c r="AG109" s="130">
        <f t="shared" si="18"/>
        <v>5.615801704105345E-2</v>
      </c>
      <c r="AH109" s="130">
        <f t="shared" si="18"/>
        <v>0.109353507565337</v>
      </c>
      <c r="AI109" s="130" t="e">
        <f t="shared" si="18"/>
        <v>#DIV/0!</v>
      </c>
      <c r="AJ109" s="131"/>
      <c r="AK109" s="130">
        <f t="shared" si="18"/>
        <v>6.225105053891021E-2</v>
      </c>
      <c r="AL109" s="130">
        <f t="shared" si="18"/>
        <v>2.5196811061503399E-2</v>
      </c>
      <c r="AM109" s="130" t="e">
        <f t="shared" si="18"/>
        <v>#DIV/0!</v>
      </c>
      <c r="AN109" s="131"/>
      <c r="AO109" s="130">
        <f t="shared" si="18"/>
        <v>4.0313898582303165E-2</v>
      </c>
      <c r="AP109" s="130">
        <f t="shared" si="18"/>
        <v>4.3167495388188155E-2</v>
      </c>
      <c r="AQ109" s="130" t="e">
        <f t="shared" si="18"/>
        <v>#DIV/0!</v>
      </c>
      <c r="AR109" s="131"/>
      <c r="AS109" s="130">
        <f t="shared" si="18"/>
        <v>0</v>
      </c>
      <c r="AT109" s="130">
        <f t="shared" si="18"/>
        <v>0.21646726446062359</v>
      </c>
      <c r="AU109" s="130" t="e">
        <f t="shared" si="18"/>
        <v>#DIV/0!</v>
      </c>
      <c r="AV109" s="131"/>
      <c r="AW109" s="130">
        <f t="shared" si="18"/>
        <v>1.8886385873893555E-3</v>
      </c>
      <c r="AX109" s="130">
        <f t="shared" si="18"/>
        <v>0</v>
      </c>
      <c r="AY109" s="130" t="e">
        <f t="shared" si="18"/>
        <v>#DIV/0!</v>
      </c>
      <c r="AZ109" s="131"/>
      <c r="BA109" s="130">
        <f t="shared" si="18"/>
        <v>0.11366024021124964</v>
      </c>
      <c r="BB109" s="130">
        <f t="shared" si="18"/>
        <v>8.3570044517907865E-2</v>
      </c>
      <c r="BC109" s="130" t="e">
        <f t="shared" si="18"/>
        <v>#DIV/0!</v>
      </c>
      <c r="BD109" s="131"/>
      <c r="BE109" s="130">
        <f t="shared" si="18"/>
        <v>3.2772592540957941E-2</v>
      </c>
      <c r="BF109" s="130">
        <f t="shared" si="18"/>
        <v>0</v>
      </c>
      <c r="BG109" s="130" t="e">
        <f t="shared" si="18"/>
        <v>#DIV/0!</v>
      </c>
      <c r="BH109" s="131"/>
      <c r="BI109" s="130">
        <f t="shared" si="18"/>
        <v>0.52289215524137833</v>
      </c>
      <c r="BJ109" s="130">
        <f t="shared" si="18"/>
        <v>0.67688089872798896</v>
      </c>
      <c r="BK109" s="130" t="e">
        <f t="shared" si="18"/>
        <v>#DIV/0!</v>
      </c>
      <c r="BL109" s="131"/>
      <c r="BM109" s="130">
        <f t="shared" si="18"/>
        <v>0.13603853452050796</v>
      </c>
      <c r="BN109" s="130">
        <f t="shared" si="18"/>
        <v>0.11251236399604352</v>
      </c>
      <c r="BO109" s="130" t="e">
        <f t="shared" ref="BO109:CC109" si="19">(BO16+BO17-BO11)/BO9</f>
        <v>#DIV/0!</v>
      </c>
      <c r="BP109" s="131"/>
      <c r="BQ109" s="130">
        <f t="shared" si="19"/>
        <v>1.8498208507674762E-2</v>
      </c>
      <c r="BR109" s="130">
        <f t="shared" si="19"/>
        <v>4.0585348952627102E-2</v>
      </c>
      <c r="BS109" s="130" t="e">
        <f t="shared" si="19"/>
        <v>#DIV/0!</v>
      </c>
      <c r="BT109" s="131"/>
      <c r="BU109" s="130">
        <f t="shared" si="19"/>
        <v>8.8662898798230028E-2</v>
      </c>
      <c r="BV109" s="130">
        <f t="shared" si="19"/>
        <v>0.12759082345801967</v>
      </c>
      <c r="BW109" s="130" t="e">
        <f t="shared" si="19"/>
        <v>#DIV/0!</v>
      </c>
      <c r="BX109" s="131"/>
      <c r="BY109" s="130">
        <f t="shared" si="19"/>
        <v>0.1676276692491509</v>
      </c>
      <c r="BZ109" s="130">
        <f t="shared" si="19"/>
        <v>0.15760228002074209</v>
      </c>
      <c r="CA109" s="130" t="e">
        <f t="shared" si="19"/>
        <v>#DIV/0!</v>
      </c>
      <c r="CB109" s="131"/>
      <c r="CC109" s="130">
        <f t="shared" si="19"/>
        <v>-2.0238707098395287E-2</v>
      </c>
      <c r="CD109" s="150"/>
    </row>
    <row r="110" spans="1:82" s="85" customFormat="1" ht="14.25" customHeight="1" x14ac:dyDescent="0.2">
      <c r="C110" s="91"/>
      <c r="D110" s="92"/>
      <c r="G110" s="91"/>
      <c r="H110" s="92"/>
      <c r="K110" s="91"/>
      <c r="L110" s="92"/>
      <c r="O110" s="91"/>
      <c r="P110" s="92"/>
      <c r="S110" s="91"/>
      <c r="T110" s="92"/>
      <c r="W110" s="91"/>
      <c r="X110" s="92"/>
      <c r="AA110" s="91"/>
      <c r="AB110" s="92"/>
      <c r="AE110" s="91"/>
      <c r="AF110" s="92"/>
      <c r="AI110" s="91"/>
      <c r="AJ110" s="92"/>
      <c r="AM110" s="91"/>
      <c r="AN110" s="92"/>
      <c r="AQ110" s="91"/>
      <c r="AR110" s="92"/>
      <c r="AU110" s="91"/>
      <c r="AV110" s="92"/>
      <c r="AY110" s="91"/>
      <c r="AZ110" s="92"/>
      <c r="BC110" s="91"/>
      <c r="BD110" s="92"/>
      <c r="BG110" s="91"/>
      <c r="BH110" s="92"/>
      <c r="BK110" s="91"/>
      <c r="BL110" s="92"/>
      <c r="BO110" s="91"/>
      <c r="BP110" s="92"/>
      <c r="BS110" s="91"/>
      <c r="BT110" s="92"/>
      <c r="BW110" s="91"/>
      <c r="BX110" s="92"/>
      <c r="CA110" s="91"/>
      <c r="CB110" s="92"/>
    </row>
    <row r="111" spans="1:82" s="85" customFormat="1" ht="14.25" customHeight="1" x14ac:dyDescent="0.2">
      <c r="A111" s="148" t="s">
        <v>289</v>
      </c>
      <c r="B111" s="148"/>
      <c r="C111" s="91"/>
      <c r="D111" s="92"/>
      <c r="G111" s="91"/>
      <c r="H111" s="92"/>
      <c r="K111" s="91"/>
      <c r="L111" s="92"/>
      <c r="O111" s="91"/>
      <c r="P111" s="92"/>
      <c r="S111" s="91"/>
      <c r="T111" s="92"/>
      <c r="W111" s="91"/>
      <c r="X111" s="92"/>
      <c r="AA111" s="91"/>
      <c r="AB111" s="92"/>
      <c r="AE111" s="91"/>
      <c r="AF111" s="92"/>
      <c r="AI111" s="91"/>
      <c r="AJ111" s="92"/>
      <c r="AM111" s="91"/>
      <c r="AN111" s="92"/>
      <c r="AQ111" s="91"/>
      <c r="AR111" s="92"/>
      <c r="AU111" s="91"/>
      <c r="AV111" s="92"/>
      <c r="AY111" s="91"/>
      <c r="AZ111" s="92"/>
      <c r="BC111" s="91"/>
      <c r="BD111" s="92"/>
      <c r="BG111" s="91"/>
      <c r="BH111" s="92"/>
      <c r="BK111" s="91"/>
      <c r="BL111" s="92"/>
      <c r="BO111" s="91"/>
      <c r="BP111" s="92"/>
      <c r="BS111" s="91"/>
      <c r="BT111" s="92"/>
      <c r="BW111" s="91"/>
      <c r="BX111" s="92"/>
      <c r="CA111" s="91"/>
      <c r="CB111" s="92"/>
    </row>
    <row r="112" spans="1:82" s="85" customFormat="1" ht="14.25" customHeight="1" x14ac:dyDescent="0.2">
      <c r="A112" s="13"/>
      <c r="B112" s="5" t="s">
        <v>290</v>
      </c>
      <c r="C112" s="111" t="e">
        <f>SUM(C9)/C$142</f>
        <v>#DIV/0!</v>
      </c>
      <c r="D112" s="108"/>
      <c r="E112" s="111">
        <f>SUM(E9)/E$142</f>
        <v>9122</v>
      </c>
      <c r="F112" s="111" t="e">
        <f>SUM(F9)/F$142</f>
        <v>#DIV/0!</v>
      </c>
      <c r="G112" s="111" t="e">
        <f>SUM(G9)/G$142</f>
        <v>#DIV/0!</v>
      </c>
      <c r="H112" s="108"/>
      <c r="I112" s="111">
        <f>SUM(I9)/I$142</f>
        <v>1127.078</v>
      </c>
      <c r="J112" s="111" t="e">
        <f>SUM(J9)/J$142</f>
        <v>#DIV/0!</v>
      </c>
      <c r="K112" s="111" t="e">
        <f>SUM(K9)/K$142</f>
        <v>#DIV/0!</v>
      </c>
      <c r="L112" s="108"/>
      <c r="M112" s="111">
        <f>SUM(M9)/M$142</f>
        <v>1626</v>
      </c>
      <c r="N112" s="111" t="e">
        <f>SUM(N9)/N$142</f>
        <v>#DIV/0!</v>
      </c>
      <c r="O112" s="111" t="e">
        <f>SUM(O9)/O$142</f>
        <v>#DIV/0!</v>
      </c>
      <c r="P112" s="108"/>
      <c r="Q112" s="111">
        <f>SUM(Q9)/Q$142</f>
        <v>1679.4779999999992</v>
      </c>
      <c r="R112" s="111" t="e">
        <f>SUM(R9)/R$142</f>
        <v>#DIV/0!</v>
      </c>
      <c r="S112" s="111" t="e">
        <f>SUM(S9)/S$142</f>
        <v>#DIV/0!</v>
      </c>
      <c r="T112" s="108"/>
      <c r="U112" s="111">
        <f>SUM(U9)/U$142</f>
        <v>1143.3100000000004</v>
      </c>
      <c r="V112" s="111" t="e">
        <f>SUM(V9)/V$142</f>
        <v>#DIV/0!</v>
      </c>
      <c r="W112" s="111" t="e">
        <f>SUM(W9)/W$142</f>
        <v>#DIV/0!</v>
      </c>
      <c r="X112" s="108"/>
      <c r="Y112" s="111">
        <f>SUM(Y9)/Y$142</f>
        <v>-1205.6419999999998</v>
      </c>
      <c r="Z112" s="111" t="e">
        <f>SUM(Z9)/Z$142</f>
        <v>#DIV/0!</v>
      </c>
      <c r="AA112" s="111" t="e">
        <f>SUM(AA9)/AA$142</f>
        <v>#DIV/0!</v>
      </c>
      <c r="AB112" s="108"/>
      <c r="AC112" s="111">
        <f>SUM(AC9)/AC$142</f>
        <v>37146</v>
      </c>
      <c r="AD112" s="111" t="e">
        <f>SUM(AD9)/AD$142</f>
        <v>#DIV/0!</v>
      </c>
      <c r="AE112" s="111" t="e">
        <f>SUM(AE9)/AE$142</f>
        <v>#DIV/0!</v>
      </c>
      <c r="AF112" s="108"/>
      <c r="AG112" s="111">
        <f>SUM(AG9)/AG$142</f>
        <v>5164</v>
      </c>
      <c r="AH112" s="111" t="e">
        <f>SUM(AH9)/AH$142</f>
        <v>#DIV/0!</v>
      </c>
      <c r="AI112" s="111" t="e">
        <f>SUM(AI9)/AI$142</f>
        <v>#DIV/0!</v>
      </c>
      <c r="AJ112" s="108"/>
      <c r="AK112" s="111">
        <f>SUM(AK9)/AK$142</f>
        <v>8987.768</v>
      </c>
      <c r="AL112" s="111" t="e">
        <f>SUM(AL9)/AL$142</f>
        <v>#DIV/0!</v>
      </c>
      <c r="AM112" s="111" t="e">
        <f>SUM(AM9)/AM$142</f>
        <v>#DIV/0!</v>
      </c>
      <c r="AN112" s="108"/>
      <c r="AO112" s="111">
        <f>SUM(AO9)/AO$142</f>
        <v>2677.9349999999995</v>
      </c>
      <c r="AP112" s="111" t="e">
        <f>SUM(AP9)/AP$142</f>
        <v>#DIV/0!</v>
      </c>
      <c r="AQ112" s="111" t="e">
        <f>SUM(AQ9)/AQ$142</f>
        <v>#DIV/0!</v>
      </c>
      <c r="AR112" s="108"/>
      <c r="AS112" s="111">
        <f>SUM(AS9)/AS$142</f>
        <v>1283.7960000000003</v>
      </c>
      <c r="AT112" s="111" t="e">
        <f>SUM(AT9)/AT$142</f>
        <v>#DIV/0!</v>
      </c>
      <c r="AU112" s="111" t="e">
        <f>SUM(AU9)/AU$142</f>
        <v>#DIV/0!</v>
      </c>
      <c r="AV112" s="108"/>
      <c r="AW112" s="111">
        <f>SUM(AW9)/AW$142</f>
        <v>43947</v>
      </c>
      <c r="AX112" s="111" t="e">
        <f>SUM(AX9)/AX$142</f>
        <v>#DIV/0!</v>
      </c>
      <c r="AY112" s="111" t="e">
        <f>SUM(AY9)/AY$142</f>
        <v>#DIV/0!</v>
      </c>
      <c r="AZ112" s="108"/>
      <c r="BA112" s="111">
        <f>SUM(BA9)/BA$142</f>
        <v>352.18999999999994</v>
      </c>
      <c r="BB112" s="111" t="e">
        <f>SUM(BB9)/BB$142</f>
        <v>#DIV/0!</v>
      </c>
      <c r="BC112" s="111" t="e">
        <f>SUM(BC9)/BC$142</f>
        <v>#DIV/0!</v>
      </c>
      <c r="BD112" s="108"/>
      <c r="BE112" s="111">
        <f>SUM(BE9)/BE$142</f>
        <v>1922.3379999999997</v>
      </c>
      <c r="BF112" s="111" t="e">
        <f>SUM(BF9)/BF$142</f>
        <v>#DIV/0!</v>
      </c>
      <c r="BG112" s="111" t="e">
        <f>SUM(BG9)/BG$142</f>
        <v>#DIV/0!</v>
      </c>
      <c r="BH112" s="108"/>
      <c r="BI112" s="111">
        <f>SUM(BI9)/BI$142</f>
        <v>1783.777</v>
      </c>
      <c r="BJ112" s="111" t="e">
        <f>SUM(BJ9)/BJ$142</f>
        <v>#DIV/0!</v>
      </c>
      <c r="BK112" s="111" t="e">
        <f>SUM(BK9)/BK$142</f>
        <v>#DIV/0!</v>
      </c>
      <c r="BL112" s="108"/>
      <c r="BM112" s="111">
        <f>SUM(BM9)/BM$142</f>
        <v>6851</v>
      </c>
      <c r="BN112" s="111" t="e">
        <f>SUM(BN9)/BN$142</f>
        <v>#DIV/0!</v>
      </c>
      <c r="BO112" s="111" t="e">
        <f>SUM(BO9)/BO$142</f>
        <v>#DIV/0!</v>
      </c>
      <c r="BP112" s="108"/>
      <c r="BQ112" s="111" t="e">
        <f>SUM(BQ9)/BQ$142</f>
        <v>#DIV/0!</v>
      </c>
      <c r="BR112" s="111">
        <f>SUM(BR9)/BR$142</f>
        <v>-2135.8199999999997</v>
      </c>
      <c r="BS112" s="111" t="e">
        <f>SUM(BS9)/BS$142</f>
        <v>#DIV/0!</v>
      </c>
      <c r="BT112" s="108"/>
      <c r="BU112" s="111">
        <f>SUM(BU9)/BU$142</f>
        <v>1788.279</v>
      </c>
      <c r="BV112" s="111" t="e">
        <f>SUM(BV9)/BV$142</f>
        <v>#DIV/0!</v>
      </c>
      <c r="BW112" s="111" t="e">
        <f>SUM(BW9)/BW$142</f>
        <v>#DIV/0!</v>
      </c>
      <c r="BX112" s="108"/>
      <c r="BY112" s="111">
        <f>SUM(BY9)/BY$142</f>
        <v>1783.5539999999996</v>
      </c>
      <c r="BZ112" s="111" t="e">
        <f>SUM(BZ9)/BZ$142</f>
        <v>#DIV/0!</v>
      </c>
      <c r="CA112" s="111" t="e">
        <f>SUM(CA9)/CA$142</f>
        <v>#DIV/0!</v>
      </c>
      <c r="CB112" s="108"/>
      <c r="CC112" s="111">
        <f>SUM(CC9)/CC$142</f>
        <v>0.1051648549636659</v>
      </c>
    </row>
    <row r="113" spans="1:82" x14ac:dyDescent="0.2">
      <c r="B113" s="5" t="s">
        <v>6</v>
      </c>
      <c r="E113" s="111">
        <f>SUM(E14)/E142</f>
        <v>9480</v>
      </c>
      <c r="F113" s="111"/>
      <c r="I113" s="111">
        <f>SUM(I14)/I142</f>
        <v>65.637000000000171</v>
      </c>
      <c r="J113" s="111"/>
      <c r="M113" s="111">
        <f>SUM(M14)/M142</f>
        <v>2193</v>
      </c>
      <c r="N113" s="111"/>
      <c r="Q113" s="111">
        <f>SUM(Q14)/Q142</f>
        <v>1293.4010000000001</v>
      </c>
      <c r="R113" s="111"/>
      <c r="U113" s="111">
        <f>SUM(U14)/U142</f>
        <v>3094.692</v>
      </c>
      <c r="V113" s="111"/>
      <c r="Y113" s="111">
        <f>SUM(Y14)/Y142</f>
        <v>0</v>
      </c>
      <c r="Z113" s="111"/>
      <c r="AC113" s="111">
        <f>SUM(AC14)/AC142</f>
        <v>18648</v>
      </c>
      <c r="AD113" s="111"/>
      <c r="AG113" s="111">
        <f>SUM(AG14)/AG142</f>
        <v>525</v>
      </c>
      <c r="AH113" s="111"/>
      <c r="AK113" s="111">
        <f>SUM(AK14)/AK142</f>
        <v>952.91699999999764</v>
      </c>
      <c r="AL113" s="111"/>
      <c r="AO113" s="111">
        <f>SUM(AO14)/AO142</f>
        <v>796.88099999999997</v>
      </c>
      <c r="AP113" s="111"/>
      <c r="AS113" s="111">
        <f>SUM(AS14)/AS142</f>
        <v>297.05699999999979</v>
      </c>
      <c r="AT113" s="111"/>
      <c r="AW113" s="111">
        <f>SUM(AW14)/AW142</f>
        <v>1464</v>
      </c>
      <c r="AX113" s="111"/>
      <c r="BA113" s="111">
        <f>SUM(BA14)/BA142</f>
        <v>213.19200000000001</v>
      </c>
      <c r="BB113" s="111"/>
      <c r="BE113" s="111">
        <f>SUM(BE14)/BE142</f>
        <v>636.22299999999996</v>
      </c>
      <c r="BF113" s="111"/>
      <c r="BI113" s="111">
        <f>SUM(BI14)/BI142</f>
        <v>2777.2559999999994</v>
      </c>
      <c r="BJ113" s="111"/>
      <c r="BM113" s="111">
        <f>SUM(BM14)/BM142</f>
        <v>1762</v>
      </c>
      <c r="BN113" s="111"/>
      <c r="BQ113" s="111" t="e">
        <f>SUM(BQ14)/BQ142</f>
        <v>#DIV/0!</v>
      </c>
      <c r="BR113" s="111">
        <f>SUM(BR14)/BR142</f>
        <v>-602.22400000000005</v>
      </c>
      <c r="BU113" s="111">
        <f>SUM(BU14)/BU142</f>
        <v>3540.4490000000001</v>
      </c>
      <c r="BV113" s="111"/>
      <c r="BY113" s="111">
        <f>SUM(BY14)/BY142</f>
        <v>1952.6109999999999</v>
      </c>
      <c r="BZ113" s="111"/>
      <c r="CC113" s="111">
        <f>SUM(CC14)/CC142</f>
        <v>-2.6814425560026427</v>
      </c>
      <c r="CD113" s="111"/>
    </row>
    <row r="114" spans="1:82" x14ac:dyDescent="0.2">
      <c r="B114" s="5" t="s">
        <v>291</v>
      </c>
      <c r="E114" s="111">
        <f>SUM(E24)/E142</f>
        <v>3957</v>
      </c>
      <c r="F114" s="111"/>
      <c r="I114" s="111">
        <f>SUM(I24)/I142</f>
        <v>602.42000000000019</v>
      </c>
      <c r="J114" s="111"/>
      <c r="M114" s="111">
        <f>SUM(M24)/M142</f>
        <v>444</v>
      </c>
      <c r="N114" s="111"/>
      <c r="Q114" s="111">
        <f>SUM(Q24)/Q142</f>
        <v>773.29099999999892</v>
      </c>
      <c r="R114" s="111"/>
      <c r="U114" s="111">
        <f>SUM(U24)/U142</f>
        <v>479.77099999999956</v>
      </c>
      <c r="V114" s="111"/>
      <c r="Y114" s="111">
        <f>SUM(Y24)/Y142</f>
        <v>-772.71800000000042</v>
      </c>
      <c r="Z114" s="111"/>
      <c r="AC114" s="111">
        <f>SUM(AC24)/AC142</f>
        <v>17578</v>
      </c>
      <c r="AD114" s="111"/>
      <c r="AG114" s="111">
        <f>SUM(AG24)/AG142</f>
        <v>2661</v>
      </c>
      <c r="AH114" s="111"/>
      <c r="AK114" s="111">
        <f>SUM(AK24)/AK142</f>
        <v>2382.877999999997</v>
      </c>
      <c r="AL114" s="111"/>
      <c r="AO114" s="111">
        <f>SUM(AO24)/AO142</f>
        <v>319.97199999999941</v>
      </c>
      <c r="AP114" s="111"/>
      <c r="AS114" s="111">
        <f>SUM(AS24)/AS142</f>
        <v>235.05500000000026</v>
      </c>
      <c r="AT114" s="111"/>
      <c r="AW114" s="111">
        <f>SUM(AW24)/AW142</f>
        <v>36138</v>
      </c>
      <c r="AX114" s="111"/>
      <c r="BA114" s="111">
        <f>SUM(BA24)/BA142</f>
        <v>112.495</v>
      </c>
      <c r="BB114" s="111"/>
      <c r="BE114" s="111">
        <f>SUM(BE24)/BE142</f>
        <v>1496.7390000000005</v>
      </c>
      <c r="BF114" s="111"/>
      <c r="BI114" s="111">
        <f>SUM(BI24)/BI142</f>
        <v>380.3739999999994</v>
      </c>
      <c r="BJ114" s="111"/>
      <c r="BM114" s="111">
        <f>SUM(BM24)/BM142</f>
        <v>2589</v>
      </c>
      <c r="BN114" s="111"/>
      <c r="BQ114" s="111" t="e">
        <f>SUM(BQ24)/BQ142</f>
        <v>#DIV/0!</v>
      </c>
      <c r="BR114" s="111">
        <f>SUM(BR24)/BR142</f>
        <v>-262.40099999999973</v>
      </c>
      <c r="BU114" s="111">
        <f>SUM(BU24)/BU142</f>
        <v>2640.17</v>
      </c>
      <c r="BV114" s="111"/>
      <c r="BY114" s="111">
        <f>SUM(BY24)/BY142</f>
        <v>1311.5969999999993</v>
      </c>
      <c r="BZ114" s="111"/>
      <c r="CC114" s="111">
        <f>SUM(CC24)/CC142</f>
        <v>-0.33969851660560907</v>
      </c>
      <c r="CD114" s="111"/>
    </row>
    <row r="115" spans="1:82" x14ac:dyDescent="0.2">
      <c r="A115" s="74"/>
      <c r="B115" s="5" t="s">
        <v>292</v>
      </c>
      <c r="E115" s="170">
        <f>(E16+E17-E11)/E142</f>
        <v>1614</v>
      </c>
      <c r="F115" s="120"/>
      <c r="I115" s="55">
        <f>(I16+I17-I11)/I142</f>
        <v>0</v>
      </c>
      <c r="J115" s="120"/>
      <c r="M115" s="55">
        <f>(M16+M17-M11)/M142</f>
        <v>250</v>
      </c>
      <c r="N115" s="120"/>
      <c r="Q115" s="55">
        <f>(Q16+Q17-Q11)/Q142</f>
        <v>100</v>
      </c>
      <c r="R115" s="120"/>
      <c r="U115" s="55">
        <f>(U16+U17-U11)/U142</f>
        <v>631.03500000000008</v>
      </c>
      <c r="V115" s="120"/>
      <c r="Y115" s="55">
        <f>(Y16+Y17-Y11)/Y142</f>
        <v>0</v>
      </c>
      <c r="Z115" s="120"/>
      <c r="AC115" s="55">
        <f>(AC16+AC17-AC11)/AC142</f>
        <v>3077</v>
      </c>
      <c r="AD115" s="120"/>
      <c r="AG115" s="55">
        <f>(AG16+AG17-AG11)/AG142</f>
        <v>290</v>
      </c>
      <c r="AH115" s="120"/>
      <c r="AK115" s="55">
        <f>(AK16+AK17-AK11)/AK142</f>
        <v>559.49799999999993</v>
      </c>
      <c r="AL115" s="120"/>
      <c r="AO115" s="55">
        <f>(AO16+AO17-AO11)/AO142</f>
        <v>107.95800000000001</v>
      </c>
      <c r="AP115" s="120"/>
      <c r="AS115" s="55">
        <f>(AS16+AS17-AS11)/AS142</f>
        <v>0</v>
      </c>
      <c r="AT115" s="120"/>
      <c r="AW115" s="55">
        <f>(AW16+AW17-AW11)/AW142</f>
        <v>83</v>
      </c>
      <c r="AX115" s="120"/>
      <c r="BA115" s="55">
        <f>(BA16+BA17-BA11)/BA142</f>
        <v>40.03</v>
      </c>
      <c r="BB115" s="120"/>
      <c r="BE115" s="55">
        <f>(BE16+BE17-BE11)/BE142</f>
        <v>63</v>
      </c>
      <c r="BF115" s="120"/>
      <c r="BI115" s="55">
        <f>(BI16+BI17-BI11)/BI142</f>
        <v>932.72300000000018</v>
      </c>
      <c r="BJ115" s="120"/>
      <c r="BM115" s="55">
        <f>(BM16+BM17-BM11)/BM142</f>
        <v>932</v>
      </c>
      <c r="BN115" s="120"/>
      <c r="BQ115" s="55" t="e">
        <f>(BQ16+BQ17-BQ11)/BQ142</f>
        <v>#DIV/0!</v>
      </c>
      <c r="BR115" s="120"/>
      <c r="BU115" s="55">
        <f>(BU16+BU17-BU11)/BU142</f>
        <v>158.554</v>
      </c>
      <c r="BV115" s="120"/>
      <c r="BY115" s="55">
        <f>(BY16+BY17-BY11)/BY142</f>
        <v>298.97300000000001</v>
      </c>
      <c r="BZ115" s="120"/>
      <c r="CC115" s="55">
        <f>(CC16+CC17-CC11)/CC142</f>
        <v>-2.1284006966548557E-3</v>
      </c>
      <c r="CD115" s="120"/>
    </row>
    <row r="116" spans="1:82" x14ac:dyDescent="0.2">
      <c r="B116" s="5" t="s">
        <v>293</v>
      </c>
      <c r="E116" s="171">
        <f>(E17-E11)/E142</f>
        <v>1282</v>
      </c>
      <c r="F116" s="150"/>
      <c r="I116" s="171">
        <f>(I17-I11)/I142</f>
        <v>0</v>
      </c>
      <c r="J116" s="150"/>
      <c r="M116" s="171">
        <f>(M17-M11)/M142</f>
        <v>61</v>
      </c>
      <c r="N116" s="150"/>
      <c r="Q116" s="171">
        <f>(Q17-Q11)/Q142</f>
        <v>0</v>
      </c>
      <c r="R116" s="150"/>
      <c r="U116" s="171">
        <f>(U17-U11)/U142</f>
        <v>0</v>
      </c>
      <c r="V116" s="150"/>
      <c r="Y116" s="171">
        <f>(Y17-Y11)/Y142</f>
        <v>0</v>
      </c>
      <c r="Z116" s="150"/>
      <c r="AC116" s="171">
        <f>(AC17-AC11)/AC142</f>
        <v>9213</v>
      </c>
      <c r="AD116" s="150"/>
      <c r="AG116" s="171">
        <f>(AG17-AG11)/AG142</f>
        <v>110</v>
      </c>
      <c r="AH116" s="150"/>
      <c r="AK116" s="171">
        <f>(AK17-AK11)/AK142</f>
        <v>521.86599999999999</v>
      </c>
      <c r="AL116" s="150"/>
      <c r="AO116" s="171">
        <f>(AO17-AO11)/AO142</f>
        <v>11.958</v>
      </c>
      <c r="AP116" s="150"/>
      <c r="AS116" s="171">
        <f>(AS17-AS11)/AS142</f>
        <v>0</v>
      </c>
      <c r="AT116" s="150"/>
      <c r="AW116" s="171">
        <f>(AW17-AW11)/AW142</f>
        <v>-75</v>
      </c>
      <c r="AX116" s="150"/>
      <c r="BA116" s="171">
        <f>(BA17-BA11)/BA142</f>
        <v>11.095000000000001</v>
      </c>
      <c r="BB116" s="150"/>
      <c r="BE116" s="171">
        <f>(BE17-BE11)/BE142</f>
        <v>63</v>
      </c>
      <c r="BF116" s="150"/>
      <c r="BI116" s="171">
        <f>(BI17-BI11)/BI142</f>
        <v>888.61200000000008</v>
      </c>
      <c r="BJ116" s="150"/>
      <c r="BM116" s="171">
        <f>(BM17-BM11)/BM142</f>
        <v>688</v>
      </c>
      <c r="BN116" s="150"/>
      <c r="BQ116" s="171" t="e">
        <f>(BQ17-BQ11)/BQ142</f>
        <v>#DIV/0!</v>
      </c>
      <c r="BR116" s="174" t="e">
        <f>#REF!-BR11</f>
        <v>#REF!</v>
      </c>
      <c r="BU116" s="171">
        <f>(BU17-BU11)/BU142</f>
        <v>0</v>
      </c>
      <c r="BV116" s="150"/>
      <c r="BY116" s="171">
        <f>(BY17-BY11)/BY142</f>
        <v>0</v>
      </c>
      <c r="BZ116" s="150"/>
      <c r="CC116" s="171">
        <f>(CC17-CC11)/CC142</f>
        <v>0</v>
      </c>
      <c r="CD116" s="150"/>
    </row>
    <row r="117" spans="1:82" s="85" customFormat="1" ht="14.25" customHeight="1" x14ac:dyDescent="0.2">
      <c r="B117" s="85" t="s">
        <v>294</v>
      </c>
      <c r="C117" s="111" t="e">
        <f>SUM(C23)/C$142</f>
        <v>#DIV/0!</v>
      </c>
      <c r="D117" s="108"/>
      <c r="E117" s="111">
        <f>SUM(E23)/E$142</f>
        <v>1983</v>
      </c>
      <c r="F117" s="111" t="e">
        <f>SUM(F23)/F$142</f>
        <v>#DIV/0!</v>
      </c>
      <c r="G117" s="111" t="e">
        <f>SUM(G23)/G$142</f>
        <v>#DIV/0!</v>
      </c>
      <c r="H117" s="108"/>
      <c r="I117" s="111">
        <f>SUM(I23)/I$142</f>
        <v>288.47500000000002</v>
      </c>
      <c r="J117" s="111" t="e">
        <f>SUM(J23)/J$142</f>
        <v>#DIV/0!</v>
      </c>
      <c r="K117" s="111" t="e">
        <f>SUM(K23)/K$142</f>
        <v>#DIV/0!</v>
      </c>
      <c r="L117" s="108"/>
      <c r="M117" s="111">
        <f>SUM(M23)/M$142</f>
        <v>222</v>
      </c>
      <c r="N117" s="111" t="e">
        <f>SUM(N23)/N$142</f>
        <v>#DIV/0!</v>
      </c>
      <c r="O117" s="111" t="e">
        <f>SUM(O23)/O$142</f>
        <v>#DIV/0!</v>
      </c>
      <c r="P117" s="108"/>
      <c r="Q117" s="111">
        <f>SUM(Q23)/Q$142</f>
        <v>404.41899999999998</v>
      </c>
      <c r="R117" s="111" t="e">
        <f>SUM(R23)/R$142</f>
        <v>#DIV/0!</v>
      </c>
      <c r="S117" s="111" t="e">
        <f>SUM(S23)/S$142</f>
        <v>#DIV/0!</v>
      </c>
      <c r="T117" s="108"/>
      <c r="U117" s="111">
        <f>SUM(U23)/U$142</f>
        <v>390.31599999999997</v>
      </c>
      <c r="V117" s="111" t="e">
        <f>SUM(V23)/V$142</f>
        <v>#DIV/0!</v>
      </c>
      <c r="W117" s="111" t="e">
        <f>SUM(W23)/W$142</f>
        <v>#DIV/0!</v>
      </c>
      <c r="X117" s="108"/>
      <c r="Y117" s="111">
        <f>SUM(Y23)/Y$142</f>
        <v>-607.52499999999998</v>
      </c>
      <c r="Z117" s="111" t="e">
        <f>SUM(Z23)/Z$142</f>
        <v>#DIV/0!</v>
      </c>
      <c r="AA117" s="111" t="e">
        <f>SUM(AA23)/AA$142</f>
        <v>#DIV/0!</v>
      </c>
      <c r="AB117" s="108"/>
      <c r="AC117" s="111">
        <f>SUM(AC23)/AC$142</f>
        <v>8705</v>
      </c>
      <c r="AD117" s="111" t="e">
        <f>SUM(AD23)/AD$142</f>
        <v>#DIV/0!</v>
      </c>
      <c r="AE117" s="111" t="e">
        <f>SUM(AE23)/AE$142</f>
        <v>#DIV/0!</v>
      </c>
      <c r="AF117" s="108"/>
      <c r="AG117" s="111">
        <f>SUM(AG23)/AG$142</f>
        <v>1325</v>
      </c>
      <c r="AH117" s="111" t="e">
        <f>SUM(AH23)/AH$142</f>
        <v>#DIV/0!</v>
      </c>
      <c r="AI117" s="111" t="e">
        <f>SUM(AI23)/AI$142</f>
        <v>#DIV/0!</v>
      </c>
      <c r="AJ117" s="108"/>
      <c r="AK117" s="111">
        <f>SUM(AK23)/AK$142</f>
        <v>1158.269</v>
      </c>
      <c r="AL117" s="111" t="e">
        <f>SUM(AL23)/AL$142</f>
        <v>#DIV/0!</v>
      </c>
      <c r="AM117" s="111" t="e">
        <f>SUM(AM23)/AM$142</f>
        <v>#DIV/0!</v>
      </c>
      <c r="AN117" s="108"/>
      <c r="AO117" s="111">
        <f>SUM(AO23)/AO$142</f>
        <v>157.14099999999999</v>
      </c>
      <c r="AP117" s="111" t="e">
        <f>SUM(AP23)/AP$142</f>
        <v>#DIV/0!</v>
      </c>
      <c r="AQ117" s="111" t="e">
        <f>SUM(AQ23)/AQ$142</f>
        <v>#DIV/0!</v>
      </c>
      <c r="AR117" s="108"/>
      <c r="AS117" s="111">
        <f>SUM(AS23)/AS$142</f>
        <v>167.69399999999999</v>
      </c>
      <c r="AT117" s="111" t="e">
        <f>SUM(AT23)/AT$142</f>
        <v>#DIV/0!</v>
      </c>
      <c r="AU117" s="111" t="e">
        <f>SUM(AU23)/AU$142</f>
        <v>#DIV/0!</v>
      </c>
      <c r="AV117" s="108"/>
      <c r="AW117" s="111">
        <f>SUM(AW23)/AW$142</f>
        <v>174</v>
      </c>
      <c r="AX117" s="111" t="e">
        <f>SUM(AX23)/AX$142</f>
        <v>#DIV/0!</v>
      </c>
      <c r="AY117" s="111" t="e">
        <f>SUM(AY23)/AY$142</f>
        <v>#DIV/0!</v>
      </c>
      <c r="AZ117" s="108"/>
      <c r="BA117" s="111">
        <f>SUM(BA23)/BA$142</f>
        <v>62.49</v>
      </c>
      <c r="BB117" s="111" t="e">
        <f>SUM(BB23)/BB$142</f>
        <v>#DIV/0!</v>
      </c>
      <c r="BC117" s="111" t="e">
        <f>SUM(BC23)/BC$142</f>
        <v>#DIV/0!</v>
      </c>
      <c r="BD117" s="108"/>
      <c r="BE117" s="111">
        <f>SUM(BE23)/BE$142</f>
        <v>0</v>
      </c>
      <c r="BF117" s="111" t="e">
        <f>SUM(BF23)/BF$142</f>
        <v>#DIV/0!</v>
      </c>
      <c r="BG117" s="111" t="e">
        <f>SUM(BG23)/BG$142</f>
        <v>#DIV/0!</v>
      </c>
      <c r="BH117" s="108"/>
      <c r="BI117" s="111">
        <f>SUM(BI23)/BI$142</f>
        <v>313.83300000000003</v>
      </c>
      <c r="BJ117" s="111" t="e">
        <f>SUM(BJ23)/BJ$142</f>
        <v>#DIV/0!</v>
      </c>
      <c r="BK117" s="111" t="e">
        <f>SUM(BK23)/BK$142</f>
        <v>#DIV/0!</v>
      </c>
      <c r="BL117" s="108"/>
      <c r="BM117" s="111">
        <f>SUM(BM23)/BM$142</f>
        <v>161</v>
      </c>
      <c r="BN117" s="111" t="e">
        <f>SUM(BN23)/BN$142</f>
        <v>#DIV/0!</v>
      </c>
      <c r="BO117" s="111" t="e">
        <f>SUM(BO23)/BO$142</f>
        <v>#DIV/0!</v>
      </c>
      <c r="BP117" s="108"/>
      <c r="BQ117" s="111" t="e">
        <f>SUM(BQ23)/BQ$142</f>
        <v>#DIV/0!</v>
      </c>
      <c r="BR117" s="111">
        <f>SUM(BR23)/BR$142</f>
        <v>-132.59100000000001</v>
      </c>
      <c r="BS117" s="111" t="e">
        <f>SUM(BS23)/BS$142</f>
        <v>#DIV/0!</v>
      </c>
      <c r="BT117" s="108"/>
      <c r="BU117" s="111">
        <f>SUM(BU23)/BU$142</f>
        <v>903.64099999999996</v>
      </c>
      <c r="BV117" s="111" t="e">
        <f>SUM(BV23)/BV$142</f>
        <v>#DIV/0!</v>
      </c>
      <c r="BW117" s="111" t="e">
        <f>SUM(BW23)/BW$142</f>
        <v>#DIV/0!</v>
      </c>
      <c r="BX117" s="108"/>
      <c r="BY117" s="111">
        <f>SUM(BY23)/BY$142</f>
        <v>790.65899999999999</v>
      </c>
      <c r="BZ117" s="111" t="e">
        <f>SUM(BZ23)/BZ$142</f>
        <v>#DIV/0!</v>
      </c>
      <c r="CA117" s="111" t="e">
        <f>SUM(CA23)/CA$142</f>
        <v>#DIV/0!</v>
      </c>
      <c r="CB117" s="108"/>
      <c r="CC117" s="111">
        <f>SUM(CC23)/CC$142</f>
        <v>0</v>
      </c>
    </row>
    <row r="118" spans="1:82" s="85" customFormat="1" ht="14.25" customHeight="1" x14ac:dyDescent="0.2">
      <c r="C118" s="91"/>
      <c r="D118" s="92"/>
      <c r="G118" s="91"/>
      <c r="H118" s="92"/>
      <c r="K118" s="91"/>
      <c r="L118" s="92"/>
      <c r="O118" s="91"/>
      <c r="P118" s="92"/>
      <c r="S118" s="91"/>
      <c r="T118" s="92"/>
      <c r="W118" s="91"/>
      <c r="X118" s="92"/>
      <c r="AA118" s="91"/>
      <c r="AB118" s="92"/>
      <c r="AE118" s="91"/>
      <c r="AF118" s="92"/>
      <c r="AI118" s="91"/>
      <c r="AJ118" s="92"/>
      <c r="AM118" s="91"/>
      <c r="AN118" s="92"/>
      <c r="AQ118" s="91"/>
      <c r="AR118" s="92"/>
      <c r="AU118" s="91"/>
      <c r="AV118" s="92"/>
      <c r="AY118" s="91"/>
      <c r="AZ118" s="92"/>
      <c r="BC118" s="91"/>
      <c r="BD118" s="92"/>
      <c r="BG118" s="91"/>
      <c r="BH118" s="92"/>
      <c r="BK118" s="91"/>
      <c r="BL118" s="92"/>
      <c r="BO118" s="91"/>
      <c r="BP118" s="92"/>
      <c r="BS118" s="91"/>
      <c r="BT118" s="92"/>
      <c r="BW118" s="91"/>
      <c r="BX118" s="92"/>
      <c r="CA118" s="91"/>
      <c r="CB118" s="92"/>
    </row>
    <row r="119" spans="1:82" s="85" customFormat="1" ht="14.25" customHeight="1" x14ac:dyDescent="0.2">
      <c r="A119" s="148" t="s">
        <v>295</v>
      </c>
      <c r="B119" s="148"/>
      <c r="C119" s="91"/>
      <c r="D119" s="92"/>
      <c r="G119" s="91"/>
      <c r="H119" s="92"/>
      <c r="K119" s="91"/>
      <c r="L119" s="92"/>
      <c r="O119" s="91"/>
      <c r="P119" s="92"/>
      <c r="S119" s="91"/>
      <c r="T119" s="92"/>
      <c r="W119" s="91"/>
      <c r="X119" s="92"/>
      <c r="AA119" s="91"/>
      <c r="AB119" s="92"/>
      <c r="AE119" s="91"/>
      <c r="AF119" s="92"/>
      <c r="AI119" s="91"/>
      <c r="AJ119" s="92"/>
      <c r="AM119" s="91"/>
      <c r="AN119" s="92"/>
      <c r="AQ119" s="91"/>
      <c r="AR119" s="92"/>
      <c r="AU119" s="91"/>
      <c r="AV119" s="92"/>
      <c r="AY119" s="91"/>
      <c r="AZ119" s="92"/>
      <c r="BC119" s="91"/>
      <c r="BD119" s="92"/>
      <c r="BG119" s="91"/>
      <c r="BH119" s="92"/>
      <c r="BK119" s="91"/>
      <c r="BL119" s="92"/>
      <c r="BO119" s="91"/>
      <c r="BP119" s="92"/>
      <c r="BS119" s="91"/>
      <c r="BT119" s="92"/>
      <c r="BW119" s="91"/>
      <c r="BX119" s="92"/>
      <c r="CA119" s="91"/>
      <c r="CB119" s="92"/>
    </row>
    <row r="120" spans="1:82" s="176" customFormat="1" x14ac:dyDescent="0.2">
      <c r="A120" s="10"/>
      <c r="B120" s="175" t="s">
        <v>296</v>
      </c>
      <c r="C120" s="108">
        <f>AVERAGE(C30:E30)</f>
        <v>54343</v>
      </c>
      <c r="D120" s="108"/>
      <c r="E120" s="108">
        <f t="shared" ref="E120:BN120" si="20">AVERAGE(E30:F30)</f>
        <v>48819</v>
      </c>
      <c r="F120" s="108">
        <f t="shared" si="20"/>
        <v>43295</v>
      </c>
      <c r="G120" s="108">
        <f>AVERAGE(G30:I30)</f>
        <v>25818.330999999998</v>
      </c>
      <c r="H120" s="108"/>
      <c r="I120" s="108">
        <f t="shared" si="20"/>
        <v>25454.2745</v>
      </c>
      <c r="J120" s="108">
        <f t="shared" si="20"/>
        <v>25090.218000000001</v>
      </c>
      <c r="K120" s="108">
        <f>AVERAGE(K30:M30)</f>
        <v>15423</v>
      </c>
      <c r="L120" s="108"/>
      <c r="M120" s="108">
        <f t="shared" si="20"/>
        <v>13854.5</v>
      </c>
      <c r="N120" s="108">
        <f t="shared" si="20"/>
        <v>12286</v>
      </c>
      <c r="O120" s="108">
        <f>AVERAGE(O30:Q30)</f>
        <v>115294.697</v>
      </c>
      <c r="P120" s="108"/>
      <c r="Q120" s="108">
        <f t="shared" si="20"/>
        <v>108703.5975</v>
      </c>
      <c r="R120" s="108">
        <f t="shared" si="20"/>
        <v>102112.49800000001</v>
      </c>
      <c r="S120" s="108">
        <f>AVERAGE(S30:U30)</f>
        <v>99658.577000000005</v>
      </c>
      <c r="T120" s="108"/>
      <c r="U120" s="108">
        <f t="shared" si="20"/>
        <v>61803.972999999998</v>
      </c>
      <c r="V120" s="108">
        <f t="shared" si="20"/>
        <v>23949.368999999999</v>
      </c>
      <c r="W120" s="108">
        <f>AVERAGE(W30:Y30)</f>
        <v>172617.96799999999</v>
      </c>
      <c r="X120" s="108"/>
      <c r="Y120" s="108">
        <f t="shared" si="20"/>
        <v>153166.63150000002</v>
      </c>
      <c r="Z120" s="108">
        <f t="shared" si="20"/>
        <v>133715.29500000001</v>
      </c>
      <c r="AA120" s="108">
        <f>AVERAGE(AA30:AC30)</f>
        <v>806200</v>
      </c>
      <c r="AB120" s="108"/>
      <c r="AC120" s="108">
        <f t="shared" si="20"/>
        <v>748997.5</v>
      </c>
      <c r="AD120" s="108">
        <f t="shared" si="20"/>
        <v>691795</v>
      </c>
      <c r="AE120" s="108">
        <f>AVERAGE(AE30:AG30)</f>
        <v>99860</v>
      </c>
      <c r="AF120" s="108"/>
      <c r="AG120" s="108">
        <f t="shared" si="20"/>
        <v>96682.5</v>
      </c>
      <c r="AH120" s="108">
        <f t="shared" si="20"/>
        <v>93505</v>
      </c>
      <c r="AI120" s="108">
        <f>AVERAGE(AI30:AK30)</f>
        <v>219651.62599999999</v>
      </c>
      <c r="AJ120" s="108"/>
      <c r="AK120" s="108">
        <f t="shared" si="20"/>
        <v>218144.94699999999</v>
      </c>
      <c r="AL120" s="108">
        <f t="shared" si="20"/>
        <v>216638.26800000001</v>
      </c>
      <c r="AM120" s="108">
        <f>AVERAGE(AM30:AO30)</f>
        <v>148184.641</v>
      </c>
      <c r="AN120" s="108"/>
      <c r="AO120" s="108">
        <f t="shared" si="20"/>
        <v>136085.28100000002</v>
      </c>
      <c r="AP120" s="108">
        <f t="shared" si="20"/>
        <v>123985.921</v>
      </c>
      <c r="AQ120" s="108">
        <f>AVERAGE(AQ30:AS30)</f>
        <v>48746.483999999997</v>
      </c>
      <c r="AR120" s="108"/>
      <c r="AS120" s="108">
        <f t="shared" si="20"/>
        <v>34217.561000000002</v>
      </c>
      <c r="AT120" s="108">
        <f t="shared" si="20"/>
        <v>19688.637999999999</v>
      </c>
      <c r="AU120" s="108">
        <f>AVERAGE(AU30:AW30)</f>
        <v>526206</v>
      </c>
      <c r="AV120" s="108"/>
      <c r="AW120" s="108">
        <f t="shared" si="20"/>
        <v>509939</v>
      </c>
      <c r="AX120" s="108">
        <f t="shared" si="20"/>
        <v>493672</v>
      </c>
      <c r="AY120" s="108">
        <f>AVERAGE(AY30:BA30)</f>
        <v>5667.9189999999999</v>
      </c>
      <c r="AZ120" s="108"/>
      <c r="BA120" s="108">
        <f t="shared" si="20"/>
        <v>4001.0005000000001</v>
      </c>
      <c r="BB120" s="108">
        <f t="shared" si="20"/>
        <v>2334.0819999999999</v>
      </c>
      <c r="BC120" s="108">
        <f>AVERAGE(BC30:BE30)</f>
        <v>83679.213000000003</v>
      </c>
      <c r="BD120" s="108"/>
      <c r="BE120" s="108">
        <f t="shared" si="20"/>
        <v>63836.518500000006</v>
      </c>
      <c r="BF120" s="108">
        <f t="shared" si="20"/>
        <v>43993.824000000001</v>
      </c>
      <c r="BG120" s="108">
        <f>AVERAGE(BG30:BI30)</f>
        <v>17144.060000000001</v>
      </c>
      <c r="BH120" s="108"/>
      <c r="BI120" s="108">
        <f t="shared" si="20"/>
        <v>14556.453000000001</v>
      </c>
      <c r="BJ120" s="108">
        <f t="shared" si="20"/>
        <v>11968.846000000001</v>
      </c>
      <c r="BK120" s="108">
        <f>AVERAGE(BK30:BM30)</f>
        <v>157264</v>
      </c>
      <c r="BL120" s="108"/>
      <c r="BM120" s="108">
        <f t="shared" si="20"/>
        <v>138686.5</v>
      </c>
      <c r="BN120" s="108">
        <f t="shared" si="20"/>
        <v>120109</v>
      </c>
      <c r="BO120" s="108">
        <f>AVERAGE(BO30:BQ30)</f>
        <v>148184.641</v>
      </c>
      <c r="BP120" s="108"/>
      <c r="BQ120" s="108">
        <f t="shared" ref="BQ120:CC120" si="21">AVERAGE(BQ30:BR30)</f>
        <v>136085.28100000002</v>
      </c>
      <c r="BR120" s="108">
        <f t="shared" si="21"/>
        <v>123985.921</v>
      </c>
      <c r="BS120" s="108">
        <f>AVERAGE(BS30:BU30)</f>
        <v>40698.006999999998</v>
      </c>
      <c r="BT120" s="108"/>
      <c r="BU120" s="108">
        <f t="shared" si="21"/>
        <v>32023.955999999998</v>
      </c>
      <c r="BV120" s="108">
        <f t="shared" si="21"/>
        <v>23349.904999999999</v>
      </c>
      <c r="BW120" s="108">
        <f>AVERAGE(BW30:BY30)</f>
        <v>46075.862000000001</v>
      </c>
      <c r="BX120" s="108"/>
      <c r="BY120" s="108">
        <f t="shared" si="21"/>
        <v>32023.949000000001</v>
      </c>
      <c r="BZ120" s="108">
        <f t="shared" si="21"/>
        <v>17972.036</v>
      </c>
      <c r="CA120" s="108">
        <f>AVERAGE(CA30:CC30)</f>
        <v>8065.93</v>
      </c>
      <c r="CB120" s="108"/>
      <c r="CC120" s="108">
        <f t="shared" si="21"/>
        <v>5914.5614999999998</v>
      </c>
      <c r="CD120" s="153"/>
    </row>
    <row r="121" spans="1:82" s="176" customFormat="1" x14ac:dyDescent="0.2">
      <c r="A121" s="10"/>
      <c r="B121" s="175" t="s">
        <v>297</v>
      </c>
      <c r="C121" s="108">
        <f>AVERAGE(C28:E28)</f>
        <v>50395</v>
      </c>
      <c r="D121" s="108"/>
      <c r="E121" s="108">
        <f t="shared" ref="E121:BN121" si="22">AVERAGE(E28:F28)</f>
        <v>45145.5</v>
      </c>
      <c r="F121" s="108">
        <f t="shared" si="22"/>
        <v>39896</v>
      </c>
      <c r="G121" s="108">
        <f>AVERAGE(G28:I28)</f>
        <v>23338.640000000003</v>
      </c>
      <c r="H121" s="108"/>
      <c r="I121" s="108">
        <f t="shared" si="22"/>
        <v>22435.101999999999</v>
      </c>
      <c r="J121" s="108">
        <f t="shared" si="22"/>
        <v>21531.563999999998</v>
      </c>
      <c r="K121" s="108">
        <f>AVERAGE(K28:M28)</f>
        <v>8100</v>
      </c>
      <c r="L121" s="108"/>
      <c r="M121" s="108">
        <f t="shared" si="22"/>
        <v>9832</v>
      </c>
      <c r="N121" s="108">
        <f t="shared" si="22"/>
        <v>11564</v>
      </c>
      <c r="O121" s="108">
        <f>AVERAGE(O28:Q28)</f>
        <v>109010.94</v>
      </c>
      <c r="P121" s="108"/>
      <c r="Q121" s="108">
        <f t="shared" si="22"/>
        <v>102255.53450000001</v>
      </c>
      <c r="R121" s="108">
        <f t="shared" si="22"/>
        <v>95500.129000000001</v>
      </c>
      <c r="S121" s="108">
        <f>AVERAGE(S28:U28)</f>
        <v>99357.091</v>
      </c>
      <c r="T121" s="108"/>
      <c r="U121" s="108">
        <f t="shared" si="22"/>
        <v>61649.681500000006</v>
      </c>
      <c r="V121" s="108">
        <f t="shared" si="22"/>
        <v>23942.272000000004</v>
      </c>
      <c r="W121" s="108">
        <f>AVERAGE(W28:Y28)</f>
        <v>166035.652</v>
      </c>
      <c r="X121" s="108"/>
      <c r="Y121" s="108">
        <f t="shared" si="22"/>
        <v>149781.44450000001</v>
      </c>
      <c r="Z121" s="108">
        <f t="shared" si="22"/>
        <v>133527.23700000002</v>
      </c>
      <c r="AA121" s="108">
        <f>AVERAGE(AA28:AC28)</f>
        <v>767003</v>
      </c>
      <c r="AB121" s="108"/>
      <c r="AC121" s="108">
        <f t="shared" si="22"/>
        <v>707919</v>
      </c>
      <c r="AD121" s="108">
        <f t="shared" si="22"/>
        <v>648835</v>
      </c>
      <c r="AE121" s="108">
        <f>AVERAGE(AE28:AG28)</f>
        <v>90396</v>
      </c>
      <c r="AF121" s="108"/>
      <c r="AG121" s="108">
        <f t="shared" si="22"/>
        <v>86157.5</v>
      </c>
      <c r="AH121" s="108">
        <f t="shared" si="22"/>
        <v>81919</v>
      </c>
      <c r="AI121" s="108">
        <f>AVERAGE(AI28:AK28)</f>
        <v>208733.223</v>
      </c>
      <c r="AJ121" s="108"/>
      <c r="AK121" s="108">
        <f t="shared" si="22"/>
        <v>204751.53399999999</v>
      </c>
      <c r="AL121" s="108">
        <f t="shared" si="22"/>
        <v>200769.845</v>
      </c>
      <c r="AM121" s="108">
        <f>AVERAGE(AM28:AO28)</f>
        <v>123258.69</v>
      </c>
      <c r="AN121" s="108"/>
      <c r="AO121" s="108">
        <f t="shared" si="22"/>
        <v>111116.425</v>
      </c>
      <c r="AP121" s="108">
        <f t="shared" si="22"/>
        <v>98974.16</v>
      </c>
      <c r="AQ121" s="108">
        <f>AVERAGE(AQ28:AS28)</f>
        <v>48569.941999999995</v>
      </c>
      <c r="AR121" s="108"/>
      <c r="AS121" s="108">
        <f t="shared" si="22"/>
        <v>34129.289499999999</v>
      </c>
      <c r="AT121" s="108">
        <f t="shared" si="22"/>
        <v>19688.636999999999</v>
      </c>
      <c r="AU121" s="108">
        <f>AVERAGE(AU28:AW28)</f>
        <v>515121</v>
      </c>
      <c r="AV121" s="108"/>
      <c r="AW121" s="108">
        <f t="shared" si="22"/>
        <v>492704.5</v>
      </c>
      <c r="AX121" s="108">
        <f t="shared" si="22"/>
        <v>470288</v>
      </c>
      <c r="AY121" s="108">
        <f>AVERAGE(AY28:BA28)</f>
        <v>4636.7870000000003</v>
      </c>
      <c r="AZ121" s="108"/>
      <c r="BA121" s="108">
        <f t="shared" si="22"/>
        <v>3204.5070000000001</v>
      </c>
      <c r="BB121" s="108">
        <f t="shared" si="22"/>
        <v>1772.2269999999999</v>
      </c>
      <c r="BC121" s="108">
        <f>AVERAGE(BC28:BE28)</f>
        <v>79503.448999999993</v>
      </c>
      <c r="BD121" s="108"/>
      <c r="BE121" s="108">
        <f t="shared" si="22"/>
        <v>58164</v>
      </c>
      <c r="BF121" s="108">
        <f t="shared" si="22"/>
        <v>36824.550999999999</v>
      </c>
      <c r="BG121" s="108">
        <f>AVERAGE(BG28:BI28)</f>
        <v>16067.118</v>
      </c>
      <c r="BH121" s="108"/>
      <c r="BI121" s="108">
        <f t="shared" si="22"/>
        <v>13512.578000000001</v>
      </c>
      <c r="BJ121" s="108">
        <f t="shared" si="22"/>
        <v>10958.038</v>
      </c>
      <c r="BK121" s="108">
        <f>AVERAGE(BK28:BM28)</f>
        <v>154483</v>
      </c>
      <c r="BL121" s="108"/>
      <c r="BM121" s="108">
        <f t="shared" si="22"/>
        <v>136715.5</v>
      </c>
      <c r="BN121" s="108">
        <f t="shared" si="22"/>
        <v>118948</v>
      </c>
      <c r="BO121" s="108">
        <f>AVERAGE(BO28:BQ28)</f>
        <v>123258.69</v>
      </c>
      <c r="BP121" s="108"/>
      <c r="BQ121" s="108">
        <f t="shared" ref="BQ121:CC121" si="23">AVERAGE(BQ28:BR28)</f>
        <v>111116.425</v>
      </c>
      <c r="BR121" s="108">
        <f t="shared" si="23"/>
        <v>98974.16</v>
      </c>
      <c r="BS121" s="108">
        <f>AVERAGE(BS28:BU28)</f>
        <v>37099.798999999992</v>
      </c>
      <c r="BT121" s="108"/>
      <c r="BU121" s="108">
        <f t="shared" si="23"/>
        <v>29250.630999999994</v>
      </c>
      <c r="BV121" s="108">
        <f t="shared" si="23"/>
        <v>21401.463</v>
      </c>
      <c r="BW121" s="108">
        <f>AVERAGE(BW28:BY28)</f>
        <v>46047.294000000002</v>
      </c>
      <c r="BX121" s="108"/>
      <c r="BY121" s="108">
        <f t="shared" si="23"/>
        <v>32004.177000000003</v>
      </c>
      <c r="BZ121" s="108">
        <f t="shared" si="23"/>
        <v>17961.060000000001</v>
      </c>
      <c r="CA121" s="108">
        <f>AVERAGE(CA28:CC28)</f>
        <v>3974.567</v>
      </c>
      <c r="CB121" s="108"/>
      <c r="CC121" s="108">
        <f t="shared" si="23"/>
        <v>2637.4189999999999</v>
      </c>
      <c r="CD121" s="153"/>
    </row>
    <row r="122" spans="1:82" s="176" customFormat="1" x14ac:dyDescent="0.2">
      <c r="A122" s="10"/>
      <c r="B122" s="175" t="s">
        <v>298</v>
      </c>
      <c r="C122" s="108">
        <f t="shared" ref="C122:BN122" si="24">C28</f>
        <v>0</v>
      </c>
      <c r="D122" s="108"/>
      <c r="E122" s="108">
        <f t="shared" si="24"/>
        <v>50395</v>
      </c>
      <c r="F122" s="108">
        <f t="shared" si="24"/>
        <v>39896</v>
      </c>
      <c r="G122" s="108">
        <f t="shared" si="24"/>
        <v>0</v>
      </c>
      <c r="H122" s="108"/>
      <c r="I122" s="108">
        <f t="shared" si="24"/>
        <v>23338.640000000003</v>
      </c>
      <c r="J122" s="108">
        <f t="shared" si="24"/>
        <v>21531.563999999998</v>
      </c>
      <c r="K122" s="108">
        <f t="shared" si="24"/>
        <v>0</v>
      </c>
      <c r="L122" s="108"/>
      <c r="M122" s="108">
        <f t="shared" si="24"/>
        <v>8100</v>
      </c>
      <c r="N122" s="108">
        <f t="shared" si="24"/>
        <v>11564</v>
      </c>
      <c r="O122" s="108">
        <f t="shared" si="24"/>
        <v>0</v>
      </c>
      <c r="P122" s="108"/>
      <c r="Q122" s="108">
        <f t="shared" si="24"/>
        <v>109010.94</v>
      </c>
      <c r="R122" s="108">
        <f t="shared" si="24"/>
        <v>95500.129000000001</v>
      </c>
      <c r="S122" s="108">
        <f t="shared" si="24"/>
        <v>0</v>
      </c>
      <c r="T122" s="108"/>
      <c r="U122" s="108">
        <f t="shared" si="24"/>
        <v>99357.091</v>
      </c>
      <c r="V122" s="108">
        <f t="shared" si="24"/>
        <v>23942.272000000004</v>
      </c>
      <c r="W122" s="108">
        <f t="shared" si="24"/>
        <v>0</v>
      </c>
      <c r="X122" s="108"/>
      <c r="Y122" s="108">
        <f t="shared" si="24"/>
        <v>166035.652</v>
      </c>
      <c r="Z122" s="108">
        <f t="shared" si="24"/>
        <v>133527.23700000002</v>
      </c>
      <c r="AA122" s="108">
        <f t="shared" si="24"/>
        <v>0</v>
      </c>
      <c r="AB122" s="108"/>
      <c r="AC122" s="108">
        <f t="shared" si="24"/>
        <v>767003</v>
      </c>
      <c r="AD122" s="108">
        <f t="shared" si="24"/>
        <v>648835</v>
      </c>
      <c r="AE122" s="108">
        <f t="shared" si="24"/>
        <v>0</v>
      </c>
      <c r="AF122" s="108"/>
      <c r="AG122" s="108">
        <f t="shared" si="24"/>
        <v>90396</v>
      </c>
      <c r="AH122" s="108">
        <f t="shared" si="24"/>
        <v>81919</v>
      </c>
      <c r="AI122" s="108">
        <f t="shared" si="24"/>
        <v>0</v>
      </c>
      <c r="AJ122" s="108"/>
      <c r="AK122" s="108">
        <f t="shared" si="24"/>
        <v>208733.223</v>
      </c>
      <c r="AL122" s="108">
        <f t="shared" si="24"/>
        <v>200769.845</v>
      </c>
      <c r="AM122" s="108">
        <f t="shared" si="24"/>
        <v>0</v>
      </c>
      <c r="AN122" s="108"/>
      <c r="AO122" s="108">
        <f t="shared" si="24"/>
        <v>123258.69</v>
      </c>
      <c r="AP122" s="108">
        <f t="shared" si="24"/>
        <v>98974.16</v>
      </c>
      <c r="AQ122" s="108">
        <f t="shared" si="24"/>
        <v>0</v>
      </c>
      <c r="AR122" s="108"/>
      <c r="AS122" s="108">
        <f t="shared" si="24"/>
        <v>48569.941999999995</v>
      </c>
      <c r="AT122" s="108">
        <f t="shared" si="24"/>
        <v>19688.636999999999</v>
      </c>
      <c r="AU122" s="108">
        <f t="shared" si="24"/>
        <v>0</v>
      </c>
      <c r="AV122" s="108"/>
      <c r="AW122" s="108">
        <f t="shared" si="24"/>
        <v>515121</v>
      </c>
      <c r="AX122" s="108">
        <f t="shared" si="24"/>
        <v>470288</v>
      </c>
      <c r="AY122" s="108">
        <f t="shared" si="24"/>
        <v>0</v>
      </c>
      <c r="AZ122" s="108"/>
      <c r="BA122" s="108">
        <f t="shared" si="24"/>
        <v>4636.7870000000003</v>
      </c>
      <c r="BB122" s="108">
        <f t="shared" si="24"/>
        <v>1772.2269999999999</v>
      </c>
      <c r="BC122" s="108">
        <f t="shared" si="24"/>
        <v>0</v>
      </c>
      <c r="BD122" s="108"/>
      <c r="BE122" s="108">
        <f t="shared" si="24"/>
        <v>79503.448999999993</v>
      </c>
      <c r="BF122" s="108">
        <f t="shared" si="24"/>
        <v>36824.550999999999</v>
      </c>
      <c r="BG122" s="108">
        <f t="shared" si="24"/>
        <v>0</v>
      </c>
      <c r="BH122" s="108"/>
      <c r="BI122" s="108">
        <f t="shared" si="24"/>
        <v>16067.118</v>
      </c>
      <c r="BJ122" s="108">
        <f t="shared" si="24"/>
        <v>10958.038</v>
      </c>
      <c r="BK122" s="108">
        <f t="shared" si="24"/>
        <v>0</v>
      </c>
      <c r="BL122" s="108"/>
      <c r="BM122" s="108">
        <f t="shared" si="24"/>
        <v>154483</v>
      </c>
      <c r="BN122" s="108">
        <f t="shared" si="24"/>
        <v>118948</v>
      </c>
      <c r="BO122" s="108">
        <f t="shared" ref="BO122:CC122" si="25">BO28</f>
        <v>0</v>
      </c>
      <c r="BP122" s="108"/>
      <c r="BQ122" s="108">
        <f t="shared" si="25"/>
        <v>123258.69</v>
      </c>
      <c r="BR122" s="108">
        <f t="shared" si="25"/>
        <v>98974.16</v>
      </c>
      <c r="BS122" s="108">
        <f t="shared" si="25"/>
        <v>0</v>
      </c>
      <c r="BT122" s="108"/>
      <c r="BU122" s="108">
        <f t="shared" si="25"/>
        <v>37099.798999999992</v>
      </c>
      <c r="BV122" s="108">
        <f t="shared" si="25"/>
        <v>21401.463</v>
      </c>
      <c r="BW122" s="108">
        <f t="shared" si="25"/>
        <v>0</v>
      </c>
      <c r="BX122" s="108"/>
      <c r="BY122" s="108">
        <f t="shared" si="25"/>
        <v>46047.294000000002</v>
      </c>
      <c r="BZ122" s="108">
        <f t="shared" si="25"/>
        <v>17961.060000000001</v>
      </c>
      <c r="CA122" s="108">
        <f t="shared" si="25"/>
        <v>0</v>
      </c>
      <c r="CB122" s="108"/>
      <c r="CC122" s="108">
        <f t="shared" si="25"/>
        <v>3974.567</v>
      </c>
      <c r="CD122" s="153"/>
    </row>
    <row r="123" spans="1:82" s="176" customFormat="1" x14ac:dyDescent="0.2">
      <c r="A123" s="10"/>
      <c r="B123" s="175" t="s">
        <v>299</v>
      </c>
      <c r="C123" s="108">
        <f>AVERAGE(C36:E36)</f>
        <v>10117</v>
      </c>
      <c r="D123" s="108"/>
      <c r="E123" s="108">
        <f t="shared" ref="E123:BN123" si="26">AVERAGE(E36:F36)</f>
        <v>6902</v>
      </c>
      <c r="F123" s="108">
        <f t="shared" si="26"/>
        <v>3687</v>
      </c>
      <c r="G123" s="108">
        <f>AVERAGE(G36:I36)</f>
        <v>754.33900000000006</v>
      </c>
      <c r="H123" s="108"/>
      <c r="I123" s="108">
        <f t="shared" si="26"/>
        <v>475.39950000000005</v>
      </c>
      <c r="J123" s="108">
        <f t="shared" si="26"/>
        <v>196.46</v>
      </c>
      <c r="K123" s="108">
        <f>AVERAGE(K36:M36)</f>
        <v>423</v>
      </c>
      <c r="L123" s="108"/>
      <c r="M123" s="108">
        <f t="shared" si="26"/>
        <v>201</v>
      </c>
      <c r="N123" s="108">
        <f t="shared" si="26"/>
        <v>-21</v>
      </c>
      <c r="O123" s="108">
        <f>AVERAGE(O36:Q36)</f>
        <v>9834.6740000000009</v>
      </c>
      <c r="P123" s="108"/>
      <c r="Q123" s="108">
        <f t="shared" si="26"/>
        <v>9621.9639999999999</v>
      </c>
      <c r="R123" s="108">
        <f t="shared" si="26"/>
        <v>9409.2540000000008</v>
      </c>
      <c r="S123" s="108">
        <f>AVERAGE(S36:U36)</f>
        <v>886.76800000000003</v>
      </c>
      <c r="T123" s="108"/>
      <c r="U123" s="108">
        <f t="shared" si="26"/>
        <v>646.88250000000005</v>
      </c>
      <c r="V123" s="108">
        <f t="shared" si="26"/>
        <v>406.99700000000001</v>
      </c>
      <c r="W123" s="108" t="e">
        <f>AVERAGE(W36:Y36)</f>
        <v>#DIV/0!</v>
      </c>
      <c r="X123" s="108"/>
      <c r="Y123" s="108" t="e">
        <f t="shared" si="26"/>
        <v>#DIV/0!</v>
      </c>
      <c r="Z123" s="108" t="e">
        <f t="shared" si="26"/>
        <v>#DIV/0!</v>
      </c>
      <c r="AA123" s="108">
        <f>AVERAGE(AA36:AC36)</f>
        <v>90247</v>
      </c>
      <c r="AB123" s="108"/>
      <c r="AC123" s="108">
        <f t="shared" si="26"/>
        <v>86208</v>
      </c>
      <c r="AD123" s="108">
        <f t="shared" si="26"/>
        <v>82169</v>
      </c>
      <c r="AE123" s="108">
        <f>AVERAGE(AE36:AG36)</f>
        <v>13217</v>
      </c>
      <c r="AF123" s="108"/>
      <c r="AG123" s="108">
        <f t="shared" si="26"/>
        <v>12259.5</v>
      </c>
      <c r="AH123" s="108">
        <f t="shared" si="26"/>
        <v>11302</v>
      </c>
      <c r="AI123" s="108">
        <f>AVERAGE(AI36:AK36)</f>
        <v>28418.198</v>
      </c>
      <c r="AJ123" s="108"/>
      <c r="AK123" s="108">
        <f t="shared" si="26"/>
        <v>27226.758999999998</v>
      </c>
      <c r="AL123" s="108">
        <f t="shared" si="26"/>
        <v>26035.32</v>
      </c>
      <c r="AM123" s="108">
        <f>AVERAGE(AM36:AO36)</f>
        <v>5901.741</v>
      </c>
      <c r="AN123" s="108"/>
      <c r="AO123" s="108">
        <f t="shared" si="26"/>
        <v>5366.9045000000006</v>
      </c>
      <c r="AP123" s="108">
        <f t="shared" si="26"/>
        <v>4832.0680000000002</v>
      </c>
      <c r="AQ123" s="108">
        <f>AVERAGE(AQ36:AS36)</f>
        <v>2760.3150000000001</v>
      </c>
      <c r="AR123" s="108"/>
      <c r="AS123" s="108">
        <f t="shared" si="26"/>
        <v>2392.7874999999999</v>
      </c>
      <c r="AT123" s="108">
        <f t="shared" si="26"/>
        <v>2025.26</v>
      </c>
      <c r="AU123" s="108">
        <f>AVERAGE(AU36:AW36)</f>
        <v>16793</v>
      </c>
      <c r="AV123" s="108"/>
      <c r="AW123" s="108">
        <f t="shared" si="26"/>
        <v>19506.5</v>
      </c>
      <c r="AX123" s="108">
        <f t="shared" si="26"/>
        <v>22220</v>
      </c>
      <c r="AY123" s="108">
        <f>AVERAGE(AY36:BA36)</f>
        <v>885.05200000000002</v>
      </c>
      <c r="AZ123" s="108"/>
      <c r="BA123" s="108">
        <f t="shared" si="26"/>
        <v>744.27549999999997</v>
      </c>
      <c r="BB123" s="108">
        <f t="shared" si="26"/>
        <v>603.49900000000002</v>
      </c>
      <c r="BC123" s="108">
        <f>AVERAGE(BC36:BE36)</f>
        <v>8870.2119999999995</v>
      </c>
      <c r="BD123" s="108"/>
      <c r="BE123" s="108">
        <f t="shared" si="26"/>
        <v>7121.8424999999997</v>
      </c>
      <c r="BF123" s="108">
        <f t="shared" si="26"/>
        <v>5373.473</v>
      </c>
      <c r="BG123" s="108">
        <f>AVERAGE(BG36:BI36)</f>
        <v>1589.5150000000001</v>
      </c>
      <c r="BH123" s="108"/>
      <c r="BI123" s="108">
        <f t="shared" si="26"/>
        <v>1317.0740000000001</v>
      </c>
      <c r="BJ123" s="108">
        <f t="shared" si="26"/>
        <v>1044.633</v>
      </c>
      <c r="BK123" s="108">
        <f>AVERAGE(BK36:BM36)</f>
        <v>16593</v>
      </c>
      <c r="BL123" s="108"/>
      <c r="BM123" s="108">
        <f t="shared" si="26"/>
        <v>14668.5</v>
      </c>
      <c r="BN123" s="108">
        <f t="shared" si="26"/>
        <v>12744</v>
      </c>
      <c r="BO123" s="108">
        <f>AVERAGE(BO36:BQ36)</f>
        <v>5901.741</v>
      </c>
      <c r="BP123" s="108"/>
      <c r="BQ123" s="108">
        <f t="shared" ref="BQ123:CC123" si="27">AVERAGE(BQ36:BR36)</f>
        <v>5366.9045000000006</v>
      </c>
      <c r="BR123" s="108">
        <f t="shared" si="27"/>
        <v>4832.0680000000002</v>
      </c>
      <c r="BS123" s="108">
        <f>AVERAGE(BS36:BU36)</f>
        <v>5343.2849999999999</v>
      </c>
      <c r="BT123" s="108"/>
      <c r="BU123" s="108">
        <f t="shared" si="27"/>
        <v>4183.43</v>
      </c>
      <c r="BV123" s="108">
        <f t="shared" si="27"/>
        <v>3023.5749999999998</v>
      </c>
      <c r="BW123" s="108">
        <f>AVERAGE(BW36:BY36)</f>
        <v>5234.6390000000001</v>
      </c>
      <c r="BX123" s="108"/>
      <c r="BY123" s="108">
        <f t="shared" si="27"/>
        <v>3926.96</v>
      </c>
      <c r="BZ123" s="108">
        <f t="shared" si="27"/>
        <v>2619.2809999999999</v>
      </c>
      <c r="CA123" s="108">
        <f>AVERAGE(CA36:CC36)</f>
        <v>450.28199999999998</v>
      </c>
      <c r="CB123" s="108"/>
      <c r="CC123" s="108">
        <f t="shared" si="27"/>
        <v>945.36349999999993</v>
      </c>
      <c r="CD123" s="153"/>
    </row>
    <row r="124" spans="1:82" s="176" customFormat="1" x14ac:dyDescent="0.2">
      <c r="A124" s="10"/>
      <c r="B124" s="175" t="s">
        <v>300</v>
      </c>
      <c r="C124" s="108">
        <f t="shared" ref="C124:BN124" si="28">C36</f>
        <v>0</v>
      </c>
      <c r="D124" s="108"/>
      <c r="E124" s="108">
        <f t="shared" si="28"/>
        <v>10117</v>
      </c>
      <c r="F124" s="108">
        <f t="shared" si="28"/>
        <v>3687</v>
      </c>
      <c r="G124" s="108">
        <f t="shared" si="28"/>
        <v>0</v>
      </c>
      <c r="H124" s="108"/>
      <c r="I124" s="108">
        <f t="shared" si="28"/>
        <v>754.33900000000006</v>
      </c>
      <c r="J124" s="108">
        <f t="shared" si="28"/>
        <v>196.46</v>
      </c>
      <c r="K124" s="108">
        <f t="shared" si="28"/>
        <v>0</v>
      </c>
      <c r="L124" s="108"/>
      <c r="M124" s="108">
        <f t="shared" si="28"/>
        <v>423</v>
      </c>
      <c r="N124" s="108">
        <f t="shared" si="28"/>
        <v>-21</v>
      </c>
      <c r="O124" s="108">
        <f t="shared" si="28"/>
        <v>0</v>
      </c>
      <c r="P124" s="108"/>
      <c r="Q124" s="108">
        <f t="shared" si="28"/>
        <v>9834.6740000000009</v>
      </c>
      <c r="R124" s="108">
        <f t="shared" si="28"/>
        <v>9409.2540000000008</v>
      </c>
      <c r="S124" s="108">
        <f t="shared" si="28"/>
        <v>0</v>
      </c>
      <c r="T124" s="108"/>
      <c r="U124" s="108">
        <f t="shared" si="28"/>
        <v>886.76800000000003</v>
      </c>
      <c r="V124" s="108">
        <f t="shared" si="28"/>
        <v>406.99700000000001</v>
      </c>
      <c r="W124" s="108">
        <f t="shared" si="28"/>
        <v>0</v>
      </c>
      <c r="X124" s="108"/>
      <c r="Y124" s="108">
        <f t="shared" si="28"/>
        <v>0</v>
      </c>
      <c r="Z124" s="108">
        <f t="shared" si="28"/>
        <v>0</v>
      </c>
      <c r="AA124" s="108">
        <f t="shared" si="28"/>
        <v>0</v>
      </c>
      <c r="AB124" s="108"/>
      <c r="AC124" s="108">
        <f t="shared" si="28"/>
        <v>90247</v>
      </c>
      <c r="AD124" s="108">
        <f t="shared" si="28"/>
        <v>82169</v>
      </c>
      <c r="AE124" s="108">
        <f t="shared" si="28"/>
        <v>0</v>
      </c>
      <c r="AF124" s="108"/>
      <c r="AG124" s="108">
        <f t="shared" si="28"/>
        <v>13217</v>
      </c>
      <c r="AH124" s="108">
        <f t="shared" si="28"/>
        <v>11302</v>
      </c>
      <c r="AI124" s="108">
        <f t="shared" si="28"/>
        <v>0</v>
      </c>
      <c r="AJ124" s="108"/>
      <c r="AK124" s="108">
        <f t="shared" si="28"/>
        <v>28418.198</v>
      </c>
      <c r="AL124" s="108">
        <f t="shared" si="28"/>
        <v>26035.32</v>
      </c>
      <c r="AM124" s="108">
        <f t="shared" si="28"/>
        <v>0</v>
      </c>
      <c r="AN124" s="108"/>
      <c r="AO124" s="108">
        <f t="shared" si="28"/>
        <v>5901.741</v>
      </c>
      <c r="AP124" s="108">
        <f t="shared" si="28"/>
        <v>4832.0680000000002</v>
      </c>
      <c r="AQ124" s="108">
        <f t="shared" si="28"/>
        <v>0</v>
      </c>
      <c r="AR124" s="108"/>
      <c r="AS124" s="108">
        <f t="shared" si="28"/>
        <v>2760.3150000000001</v>
      </c>
      <c r="AT124" s="108">
        <f t="shared" si="28"/>
        <v>2025.26</v>
      </c>
      <c r="AU124" s="108">
        <f t="shared" si="28"/>
        <v>0</v>
      </c>
      <c r="AV124" s="108"/>
      <c r="AW124" s="108">
        <f t="shared" si="28"/>
        <v>16793</v>
      </c>
      <c r="AX124" s="108">
        <f t="shared" si="28"/>
        <v>22220</v>
      </c>
      <c r="AY124" s="108">
        <f t="shared" si="28"/>
        <v>0</v>
      </c>
      <c r="AZ124" s="108"/>
      <c r="BA124" s="108">
        <f t="shared" si="28"/>
        <v>885.05200000000002</v>
      </c>
      <c r="BB124" s="108">
        <f t="shared" si="28"/>
        <v>603.49900000000002</v>
      </c>
      <c r="BC124" s="108">
        <f t="shared" si="28"/>
        <v>0</v>
      </c>
      <c r="BD124" s="108"/>
      <c r="BE124" s="108">
        <f t="shared" si="28"/>
        <v>8870.2119999999995</v>
      </c>
      <c r="BF124" s="108">
        <f t="shared" si="28"/>
        <v>5373.473</v>
      </c>
      <c r="BG124" s="108">
        <f t="shared" si="28"/>
        <v>0</v>
      </c>
      <c r="BH124" s="108"/>
      <c r="BI124" s="108">
        <f t="shared" si="28"/>
        <v>1589.5150000000001</v>
      </c>
      <c r="BJ124" s="108">
        <f t="shared" si="28"/>
        <v>1044.633</v>
      </c>
      <c r="BK124" s="108">
        <f t="shared" si="28"/>
        <v>0</v>
      </c>
      <c r="BL124" s="108"/>
      <c r="BM124" s="108">
        <f t="shared" si="28"/>
        <v>16593</v>
      </c>
      <c r="BN124" s="108">
        <f t="shared" si="28"/>
        <v>12744</v>
      </c>
      <c r="BO124" s="108">
        <f t="shared" ref="BO124:CC124" si="29">BO36</f>
        <v>0</v>
      </c>
      <c r="BP124" s="108"/>
      <c r="BQ124" s="108">
        <f t="shared" si="29"/>
        <v>5901.741</v>
      </c>
      <c r="BR124" s="108">
        <f t="shared" si="29"/>
        <v>4832.0680000000002</v>
      </c>
      <c r="BS124" s="108">
        <f t="shared" si="29"/>
        <v>0</v>
      </c>
      <c r="BT124" s="108"/>
      <c r="BU124" s="108">
        <f t="shared" si="29"/>
        <v>5343.2849999999999</v>
      </c>
      <c r="BV124" s="108">
        <f t="shared" si="29"/>
        <v>3023.5749999999998</v>
      </c>
      <c r="BW124" s="108">
        <f t="shared" si="29"/>
        <v>0</v>
      </c>
      <c r="BX124" s="108"/>
      <c r="BY124" s="108">
        <f t="shared" si="29"/>
        <v>5234.6390000000001</v>
      </c>
      <c r="BZ124" s="108">
        <f t="shared" si="29"/>
        <v>2619.2809999999999</v>
      </c>
      <c r="CA124" s="108">
        <f t="shared" si="29"/>
        <v>0</v>
      </c>
      <c r="CB124" s="108"/>
      <c r="CC124" s="108">
        <f t="shared" si="29"/>
        <v>450.28199999999998</v>
      </c>
      <c r="CD124" s="153"/>
    </row>
    <row r="125" spans="1:82" s="176" customFormat="1" x14ac:dyDescent="0.2">
      <c r="A125" s="10"/>
      <c r="B125" s="175" t="s">
        <v>301</v>
      </c>
      <c r="C125" s="108">
        <f>AVERAGE(C33:E33)+AVERAGE(C34:E34)</f>
        <v>42899</v>
      </c>
      <c r="D125" s="108"/>
      <c r="E125" s="108">
        <f t="shared" ref="E125:BN125" si="30">AVERAGE(E33:F33)+AVERAGE(E34:F34)</f>
        <v>38340</v>
      </c>
      <c r="F125" s="108">
        <f t="shared" si="30"/>
        <v>33781</v>
      </c>
      <c r="G125" s="108">
        <f>AVERAGE(G33:I33)+AVERAGE(G34:I34)</f>
        <v>24462.036</v>
      </c>
      <c r="H125" s="108"/>
      <c r="I125" s="108">
        <f t="shared" si="30"/>
        <v>24474.486499999999</v>
      </c>
      <c r="J125" s="108">
        <f t="shared" si="30"/>
        <v>24486.937000000002</v>
      </c>
      <c r="K125" s="108">
        <f>AVERAGE(K33:M33)+AVERAGE(K34:M34)</f>
        <v>14141</v>
      </c>
      <c r="L125" s="108"/>
      <c r="M125" s="108">
        <f t="shared" si="30"/>
        <v>13075</v>
      </c>
      <c r="N125" s="108">
        <f t="shared" si="30"/>
        <v>12009</v>
      </c>
      <c r="O125" s="108">
        <f>AVERAGE(O33:Q33)+AVERAGE(O34:Q34)</f>
        <v>104629.383</v>
      </c>
      <c r="P125" s="108"/>
      <c r="Q125" s="108">
        <f t="shared" si="30"/>
        <v>98256.525500000003</v>
      </c>
      <c r="R125" s="108">
        <f t="shared" si="30"/>
        <v>91883.668000000005</v>
      </c>
      <c r="S125" s="108">
        <f>AVERAGE(S33:U33)+AVERAGE(S34:U34)</f>
        <v>97903.390000000014</v>
      </c>
      <c r="T125" s="108"/>
      <c r="U125" s="108">
        <f t="shared" si="30"/>
        <v>60664.894</v>
      </c>
      <c r="V125" s="108">
        <f t="shared" si="30"/>
        <v>23426.398000000001</v>
      </c>
      <c r="W125" s="108" t="e">
        <f>AVERAGE(W33:Y33)+AVERAGE(W34:Y34)</f>
        <v>#DIV/0!</v>
      </c>
      <c r="X125" s="108"/>
      <c r="Y125" s="108" t="e">
        <f t="shared" si="30"/>
        <v>#DIV/0!</v>
      </c>
      <c r="Z125" s="108" t="e">
        <f t="shared" si="30"/>
        <v>#DIV/0!</v>
      </c>
      <c r="AA125" s="108">
        <f>AVERAGE(AA33:AC33)+AVERAGE(AA34:AC34)</f>
        <v>695949</v>
      </c>
      <c r="AB125" s="108"/>
      <c r="AC125" s="108">
        <f t="shared" si="30"/>
        <v>643273</v>
      </c>
      <c r="AD125" s="108">
        <f t="shared" si="30"/>
        <v>590597</v>
      </c>
      <c r="AE125" s="108">
        <f>AVERAGE(AE33:AG33)+AVERAGE(AE34:AG34)</f>
        <v>86382</v>
      </c>
      <c r="AF125" s="108"/>
      <c r="AG125" s="108">
        <f t="shared" si="30"/>
        <v>84155.5</v>
      </c>
      <c r="AH125" s="108">
        <f t="shared" si="30"/>
        <v>81929</v>
      </c>
      <c r="AI125" s="108">
        <f>AVERAGE(AI33:AK33)+AVERAGE(AI34:AK34)</f>
        <v>186923.984172</v>
      </c>
      <c r="AJ125" s="108"/>
      <c r="AK125" s="108">
        <f t="shared" si="30"/>
        <v>187369.621086</v>
      </c>
      <c r="AL125" s="108">
        <f t="shared" si="30"/>
        <v>187815.258</v>
      </c>
      <c r="AM125" s="108">
        <f>AVERAGE(AM33:AO33)+AVERAGE(AM34:AO34)</f>
        <v>142282.9</v>
      </c>
      <c r="AN125" s="108"/>
      <c r="AO125" s="108">
        <f t="shared" si="30"/>
        <v>130718.3765</v>
      </c>
      <c r="AP125" s="108">
        <f t="shared" si="30"/>
        <v>119153.853</v>
      </c>
      <c r="AQ125" s="108">
        <f>AVERAGE(AQ33:AS33)+AVERAGE(AQ34:AS34)</f>
        <v>45322.11</v>
      </c>
      <c r="AR125" s="108"/>
      <c r="AS125" s="108">
        <f t="shared" si="30"/>
        <v>31433.055</v>
      </c>
      <c r="AT125" s="108">
        <f t="shared" si="30"/>
        <v>17544</v>
      </c>
      <c r="AU125" s="108">
        <f>AVERAGE(AU33:AW33)+AVERAGE(AU34:AW34)</f>
        <v>506101</v>
      </c>
      <c r="AV125" s="108"/>
      <c r="AW125" s="108">
        <f t="shared" si="30"/>
        <v>487067</v>
      </c>
      <c r="AX125" s="108">
        <f t="shared" si="30"/>
        <v>468033</v>
      </c>
      <c r="AY125" s="108">
        <f>AVERAGE(AY33:BA33)+AVERAGE(AY34:BA34)</f>
        <v>4723.0590000000002</v>
      </c>
      <c r="AZ125" s="108"/>
      <c r="BA125" s="108">
        <f t="shared" si="30"/>
        <v>3201.5394999999999</v>
      </c>
      <c r="BB125" s="108">
        <f t="shared" si="30"/>
        <v>1680.02</v>
      </c>
      <c r="BC125" s="108">
        <f>AVERAGE(BC33:BE33)+AVERAGE(BC34:BE34)</f>
        <v>73521.120999999999</v>
      </c>
      <c r="BD125" s="108"/>
      <c r="BE125" s="108">
        <f t="shared" si="30"/>
        <v>55499.498999999996</v>
      </c>
      <c r="BF125" s="108">
        <f t="shared" si="30"/>
        <v>37477.877</v>
      </c>
      <c r="BG125" s="108">
        <f>AVERAGE(BG33:BI33)+AVERAGE(BG34:BI34)</f>
        <v>15015.441000000001</v>
      </c>
      <c r="BH125" s="108"/>
      <c r="BI125" s="108">
        <f t="shared" si="30"/>
        <v>12854.127500000001</v>
      </c>
      <c r="BJ125" s="108">
        <f t="shared" si="30"/>
        <v>10692.814</v>
      </c>
      <c r="BK125" s="108">
        <f>AVERAGE(BK33:BM33)+AVERAGE(BK34:BM34)</f>
        <v>140671</v>
      </c>
      <c r="BL125" s="108"/>
      <c r="BM125" s="108">
        <f t="shared" si="30"/>
        <v>124018</v>
      </c>
      <c r="BN125" s="108">
        <f t="shared" si="30"/>
        <v>107365</v>
      </c>
      <c r="BO125" s="108">
        <f>AVERAGE(BO33:BQ33)+AVERAGE(BO34:BQ34)</f>
        <v>136434.389</v>
      </c>
      <c r="BP125" s="108"/>
      <c r="BQ125" s="108">
        <f t="shared" ref="BQ125:CC125" si="31">AVERAGE(BQ33:BR33)+AVERAGE(BQ34:BR34)</f>
        <v>125684.95650000001</v>
      </c>
      <c r="BR125" s="108">
        <f t="shared" si="31"/>
        <v>114935.524</v>
      </c>
      <c r="BS125" s="108">
        <f>AVERAGE(BS33:BU33)+AVERAGE(BS34:BU34)</f>
        <v>33354.722000000002</v>
      </c>
      <c r="BT125" s="108"/>
      <c r="BU125" s="108">
        <f t="shared" si="31"/>
        <v>26634.525500000003</v>
      </c>
      <c r="BV125" s="108">
        <f t="shared" si="31"/>
        <v>19914.328999999998</v>
      </c>
      <c r="BW125" s="108">
        <f>AVERAGE(BW33:BY33)+AVERAGE(BW34:BY34)</f>
        <v>40388.748</v>
      </c>
      <c r="BX125" s="108"/>
      <c r="BY125" s="108">
        <f t="shared" si="31"/>
        <v>27758.944</v>
      </c>
      <c r="BZ125" s="108">
        <f t="shared" si="31"/>
        <v>15129.14</v>
      </c>
      <c r="CA125" s="108">
        <f>AVERAGE(CA33:CC33)+AVERAGE(CA34:CC34)</f>
        <v>7225.3940000000002</v>
      </c>
      <c r="CB125" s="108"/>
      <c r="CC125" s="108">
        <f t="shared" si="31"/>
        <v>4643.5720000000001</v>
      </c>
      <c r="CD125" s="153"/>
    </row>
    <row r="126" spans="1:82" s="176" customFormat="1" x14ac:dyDescent="0.2">
      <c r="A126" s="10"/>
      <c r="B126" s="175" t="s">
        <v>302</v>
      </c>
      <c r="C126" s="108">
        <f t="shared" ref="C126:AK126" si="32">SUM(C33:C34)</f>
        <v>0</v>
      </c>
      <c r="D126" s="108"/>
      <c r="E126" s="108">
        <f t="shared" si="32"/>
        <v>42899</v>
      </c>
      <c r="F126" s="108">
        <f t="shared" si="32"/>
        <v>33781</v>
      </c>
      <c r="G126" s="108">
        <f t="shared" si="32"/>
        <v>0</v>
      </c>
      <c r="H126" s="108"/>
      <c r="I126" s="108">
        <f t="shared" si="32"/>
        <v>24462.036</v>
      </c>
      <c r="J126" s="108">
        <f t="shared" si="32"/>
        <v>24486.937000000002</v>
      </c>
      <c r="K126" s="108">
        <f t="shared" si="32"/>
        <v>0</v>
      </c>
      <c r="L126" s="108"/>
      <c r="M126" s="108">
        <f t="shared" si="32"/>
        <v>14141</v>
      </c>
      <c r="N126" s="108">
        <f t="shared" si="32"/>
        <v>12009</v>
      </c>
      <c r="O126" s="108">
        <f t="shared" si="32"/>
        <v>0</v>
      </c>
      <c r="P126" s="108"/>
      <c r="Q126" s="108">
        <f t="shared" si="32"/>
        <v>104629.383</v>
      </c>
      <c r="R126" s="108">
        <f t="shared" si="32"/>
        <v>91883.668000000005</v>
      </c>
      <c r="S126" s="108">
        <f t="shared" si="32"/>
        <v>0</v>
      </c>
      <c r="T126" s="108"/>
      <c r="U126" s="108">
        <f t="shared" si="32"/>
        <v>97903.390000000014</v>
      </c>
      <c r="V126" s="108">
        <f t="shared" si="32"/>
        <v>23426.398000000001</v>
      </c>
      <c r="W126" s="108">
        <f t="shared" si="32"/>
        <v>0</v>
      </c>
      <c r="X126" s="108"/>
      <c r="Y126" s="108">
        <f t="shared" si="32"/>
        <v>0</v>
      </c>
      <c r="Z126" s="108">
        <f t="shared" si="32"/>
        <v>0</v>
      </c>
      <c r="AA126" s="108">
        <f t="shared" si="32"/>
        <v>0</v>
      </c>
      <c r="AB126" s="108"/>
      <c r="AC126" s="108">
        <f t="shared" si="32"/>
        <v>695949</v>
      </c>
      <c r="AD126" s="108">
        <f t="shared" si="32"/>
        <v>590597</v>
      </c>
      <c r="AE126" s="108">
        <f t="shared" si="32"/>
        <v>0</v>
      </c>
      <c r="AF126" s="108"/>
      <c r="AG126" s="108">
        <f t="shared" si="32"/>
        <v>86382</v>
      </c>
      <c r="AH126" s="108">
        <f t="shared" si="32"/>
        <v>81929</v>
      </c>
      <c r="AI126" s="108">
        <f t="shared" si="32"/>
        <v>0</v>
      </c>
      <c r="AJ126" s="108"/>
      <c r="AK126" s="108">
        <f t="shared" si="32"/>
        <v>186923.984172</v>
      </c>
      <c r="AL126" s="108">
        <f t="shared" ref="AL126:CC126" si="33">SUM(AL33:AL34)</f>
        <v>187815.258</v>
      </c>
      <c r="AM126" s="108">
        <f t="shared" si="33"/>
        <v>0</v>
      </c>
      <c r="AN126" s="108"/>
      <c r="AO126" s="108">
        <f t="shared" si="33"/>
        <v>142282.9</v>
      </c>
      <c r="AP126" s="108">
        <f t="shared" si="33"/>
        <v>119153.853</v>
      </c>
      <c r="AQ126" s="108">
        <f t="shared" si="33"/>
        <v>0</v>
      </c>
      <c r="AR126" s="108"/>
      <c r="AS126" s="108">
        <f t="shared" si="33"/>
        <v>45322.11</v>
      </c>
      <c r="AT126" s="108">
        <f t="shared" si="33"/>
        <v>17544</v>
      </c>
      <c r="AU126" s="108">
        <f t="shared" si="33"/>
        <v>0</v>
      </c>
      <c r="AV126" s="108"/>
      <c r="AW126" s="108">
        <f t="shared" si="33"/>
        <v>506101</v>
      </c>
      <c r="AX126" s="108">
        <f t="shared" si="33"/>
        <v>468033</v>
      </c>
      <c r="AY126" s="108">
        <f t="shared" si="33"/>
        <v>0</v>
      </c>
      <c r="AZ126" s="108"/>
      <c r="BA126" s="108">
        <f t="shared" si="33"/>
        <v>4723.0590000000002</v>
      </c>
      <c r="BB126" s="108">
        <f t="shared" si="33"/>
        <v>1680.02</v>
      </c>
      <c r="BC126" s="108">
        <f t="shared" si="33"/>
        <v>0</v>
      </c>
      <c r="BD126" s="108"/>
      <c r="BE126" s="108">
        <f t="shared" si="33"/>
        <v>73521.120999999999</v>
      </c>
      <c r="BF126" s="108">
        <f t="shared" si="33"/>
        <v>37477.877</v>
      </c>
      <c r="BG126" s="108">
        <f t="shared" si="33"/>
        <v>0</v>
      </c>
      <c r="BH126" s="108"/>
      <c r="BI126" s="108">
        <f t="shared" si="33"/>
        <v>15015.441000000001</v>
      </c>
      <c r="BJ126" s="108">
        <f t="shared" si="33"/>
        <v>10692.814</v>
      </c>
      <c r="BK126" s="108">
        <f t="shared" si="33"/>
        <v>0</v>
      </c>
      <c r="BL126" s="108"/>
      <c r="BM126" s="108">
        <f t="shared" si="33"/>
        <v>140671</v>
      </c>
      <c r="BN126" s="108">
        <f t="shared" si="33"/>
        <v>107365</v>
      </c>
      <c r="BO126" s="108">
        <f t="shared" si="33"/>
        <v>0</v>
      </c>
      <c r="BP126" s="108"/>
      <c r="BQ126" s="108">
        <f t="shared" si="33"/>
        <v>136434.389</v>
      </c>
      <c r="BR126" s="108">
        <f t="shared" si="33"/>
        <v>114935.524</v>
      </c>
      <c r="BS126" s="108">
        <f t="shared" si="33"/>
        <v>0</v>
      </c>
      <c r="BT126" s="108"/>
      <c r="BU126" s="108">
        <f t="shared" si="33"/>
        <v>33354.722000000002</v>
      </c>
      <c r="BV126" s="108">
        <f t="shared" si="33"/>
        <v>19914.328999999998</v>
      </c>
      <c r="BW126" s="108">
        <f t="shared" si="33"/>
        <v>0</v>
      </c>
      <c r="BX126" s="108"/>
      <c r="BY126" s="108">
        <f t="shared" si="33"/>
        <v>40388.748</v>
      </c>
      <c r="BZ126" s="108">
        <f t="shared" si="33"/>
        <v>15129.14</v>
      </c>
      <c r="CA126" s="108">
        <f t="shared" si="33"/>
        <v>0</v>
      </c>
      <c r="CB126" s="108"/>
      <c r="CC126" s="108">
        <f t="shared" si="33"/>
        <v>7225.3940000000002</v>
      </c>
      <c r="CD126" s="153"/>
    </row>
    <row r="127" spans="1:82" s="85" customFormat="1" ht="14.25" customHeight="1" x14ac:dyDescent="0.2">
      <c r="B127" s="175" t="s">
        <v>303</v>
      </c>
      <c r="C127" s="164">
        <f t="shared" ref="C127:BN128" si="34">C45</f>
        <v>0</v>
      </c>
      <c r="D127" s="164"/>
      <c r="E127" s="164">
        <f t="shared" si="34"/>
        <v>1216</v>
      </c>
      <c r="F127" s="164">
        <f t="shared" si="34"/>
        <v>739</v>
      </c>
      <c r="G127" s="164">
        <f t="shared" si="34"/>
        <v>0</v>
      </c>
      <c r="H127" s="164"/>
      <c r="I127" s="164">
        <f t="shared" si="34"/>
        <v>0</v>
      </c>
      <c r="J127" s="164">
        <f t="shared" si="34"/>
        <v>0</v>
      </c>
      <c r="K127" s="164">
        <f t="shared" si="34"/>
        <v>0</v>
      </c>
      <c r="L127" s="164"/>
      <c r="M127" s="164">
        <f t="shared" si="34"/>
        <v>197</v>
      </c>
      <c r="N127" s="164">
        <f t="shared" si="34"/>
        <v>30</v>
      </c>
      <c r="O127" s="164">
        <f t="shared" si="34"/>
        <v>0</v>
      </c>
      <c r="P127" s="164"/>
      <c r="Q127" s="164">
        <f t="shared" si="34"/>
        <v>300</v>
      </c>
      <c r="R127" s="164">
        <f t="shared" si="34"/>
        <v>200</v>
      </c>
      <c r="S127" s="164">
        <f t="shared" si="34"/>
        <v>0</v>
      </c>
      <c r="T127" s="164"/>
      <c r="U127" s="164">
        <f t="shared" si="34"/>
        <v>403.29500000000002</v>
      </c>
      <c r="V127" s="164">
        <f t="shared" si="34"/>
        <v>22.26</v>
      </c>
      <c r="W127" s="164">
        <f t="shared" si="34"/>
        <v>0</v>
      </c>
      <c r="X127" s="164"/>
      <c r="Y127" s="164">
        <f t="shared" si="34"/>
        <v>0</v>
      </c>
      <c r="Z127" s="164">
        <f t="shared" si="34"/>
        <v>0</v>
      </c>
      <c r="AA127" s="164">
        <f t="shared" si="34"/>
        <v>0</v>
      </c>
      <c r="AB127" s="164"/>
      <c r="AC127" s="164">
        <f t="shared" si="34"/>
        <v>6927</v>
      </c>
      <c r="AD127" s="164">
        <f t="shared" si="34"/>
        <v>6019</v>
      </c>
      <c r="AE127" s="164">
        <f t="shared" si="34"/>
        <v>0</v>
      </c>
      <c r="AF127" s="164"/>
      <c r="AG127" s="164">
        <f t="shared" si="34"/>
        <v>760</v>
      </c>
      <c r="AH127" s="164">
        <f t="shared" si="34"/>
        <v>670</v>
      </c>
      <c r="AI127" s="164">
        <f t="shared" si="34"/>
        <v>0</v>
      </c>
      <c r="AJ127" s="164"/>
      <c r="AK127" s="164">
        <f t="shared" si="34"/>
        <v>1241.5820000000001</v>
      </c>
      <c r="AL127" s="164">
        <f t="shared" si="34"/>
        <v>1203.95</v>
      </c>
      <c r="AM127" s="164">
        <f t="shared" si="34"/>
        <v>0</v>
      </c>
      <c r="AN127" s="164"/>
      <c r="AO127" s="164">
        <f t="shared" si="34"/>
        <v>148</v>
      </c>
      <c r="AP127" s="164">
        <f t="shared" si="34"/>
        <v>124</v>
      </c>
      <c r="AQ127" s="164">
        <f t="shared" si="34"/>
        <v>0</v>
      </c>
      <c r="AR127" s="164"/>
      <c r="AS127" s="164">
        <f t="shared" si="34"/>
        <v>0</v>
      </c>
      <c r="AT127" s="164">
        <f t="shared" si="34"/>
        <v>0</v>
      </c>
      <c r="AU127" s="164">
        <f t="shared" si="34"/>
        <v>0</v>
      </c>
      <c r="AV127" s="164"/>
      <c r="AW127" s="164">
        <f t="shared" si="34"/>
        <v>2872</v>
      </c>
      <c r="AX127" s="164">
        <f t="shared" si="34"/>
        <v>2864</v>
      </c>
      <c r="AY127" s="164">
        <f t="shared" si="34"/>
        <v>0</v>
      </c>
      <c r="AZ127" s="164"/>
      <c r="BA127" s="164">
        <f t="shared" si="34"/>
        <v>0</v>
      </c>
      <c r="BB127" s="164">
        <f t="shared" si="34"/>
        <v>0</v>
      </c>
      <c r="BC127" s="164">
        <f t="shared" si="34"/>
        <v>0</v>
      </c>
      <c r="BD127" s="164"/>
      <c r="BE127" s="164">
        <f t="shared" si="34"/>
        <v>63</v>
      </c>
      <c r="BF127" s="164">
        <f t="shared" si="34"/>
        <v>0</v>
      </c>
      <c r="BG127" s="164">
        <f t="shared" si="34"/>
        <v>0</v>
      </c>
      <c r="BH127" s="164"/>
      <c r="BI127" s="164">
        <f t="shared" si="34"/>
        <v>167.27600000000001</v>
      </c>
      <c r="BJ127" s="164">
        <f t="shared" si="34"/>
        <v>186</v>
      </c>
      <c r="BK127" s="164">
        <f t="shared" si="34"/>
        <v>0</v>
      </c>
      <c r="BL127" s="164"/>
      <c r="BM127" s="164">
        <f t="shared" si="34"/>
        <v>1316</v>
      </c>
      <c r="BN127" s="164">
        <f t="shared" si="34"/>
        <v>1033</v>
      </c>
      <c r="BO127" s="164">
        <f t="shared" ref="BO127:CC128" si="35">BO45</f>
        <v>0</v>
      </c>
      <c r="BP127" s="164"/>
      <c r="BQ127" s="164">
        <f t="shared" si="35"/>
        <v>148</v>
      </c>
      <c r="BR127" s="164">
        <f t="shared" si="35"/>
        <v>124</v>
      </c>
      <c r="BS127" s="164">
        <f t="shared" si="35"/>
        <v>0</v>
      </c>
      <c r="BT127" s="164"/>
      <c r="BU127" s="164">
        <f t="shared" si="35"/>
        <v>375</v>
      </c>
      <c r="BV127" s="164">
        <f t="shared" si="35"/>
        <v>216</v>
      </c>
      <c r="BW127" s="164">
        <f t="shared" si="35"/>
        <v>0</v>
      </c>
      <c r="BX127" s="164"/>
      <c r="BY127" s="164">
        <f t="shared" si="35"/>
        <v>445.58800000000002</v>
      </c>
      <c r="BZ127" s="164">
        <f t="shared" si="35"/>
        <v>146.61500000000001</v>
      </c>
      <c r="CA127" s="164">
        <f t="shared" si="35"/>
        <v>0</v>
      </c>
      <c r="CB127" s="164"/>
      <c r="CC127" s="164">
        <f t="shared" si="35"/>
        <v>0</v>
      </c>
    </row>
    <row r="128" spans="1:82" s="85" customFormat="1" ht="14.25" customHeight="1" x14ac:dyDescent="0.2">
      <c r="B128" s="175" t="s">
        <v>304</v>
      </c>
      <c r="C128" s="164">
        <f t="shared" si="34"/>
        <v>0</v>
      </c>
      <c r="D128" s="164"/>
      <c r="E128" s="164">
        <f t="shared" si="34"/>
        <v>1216</v>
      </c>
      <c r="F128" s="164">
        <f t="shared" si="34"/>
        <v>884</v>
      </c>
      <c r="G128" s="164">
        <f t="shared" si="34"/>
        <v>0</v>
      </c>
      <c r="H128" s="164"/>
      <c r="I128" s="164">
        <f t="shared" si="34"/>
        <v>0</v>
      </c>
      <c r="J128" s="164">
        <f t="shared" si="34"/>
        <v>0</v>
      </c>
      <c r="K128" s="164">
        <f t="shared" si="34"/>
        <v>0</v>
      </c>
      <c r="L128" s="164"/>
      <c r="M128" s="164">
        <f t="shared" si="34"/>
        <v>218</v>
      </c>
      <c r="N128" s="164">
        <f t="shared" si="34"/>
        <v>30</v>
      </c>
      <c r="O128" s="164">
        <f t="shared" si="34"/>
        <v>0</v>
      </c>
      <c r="P128" s="164"/>
      <c r="Q128" s="164">
        <f t="shared" si="34"/>
        <v>300</v>
      </c>
      <c r="R128" s="164">
        <f t="shared" si="34"/>
        <v>200</v>
      </c>
      <c r="S128" s="164">
        <f t="shared" si="34"/>
        <v>0</v>
      </c>
      <c r="T128" s="164"/>
      <c r="U128" s="164">
        <f t="shared" si="34"/>
        <v>653.29500000000007</v>
      </c>
      <c r="V128" s="164">
        <f t="shared" si="34"/>
        <v>22.26</v>
      </c>
      <c r="W128" s="164">
        <f t="shared" si="34"/>
        <v>0</v>
      </c>
      <c r="X128" s="164"/>
      <c r="Y128" s="164">
        <f t="shared" si="34"/>
        <v>0</v>
      </c>
      <c r="Z128" s="164">
        <f t="shared" si="34"/>
        <v>0</v>
      </c>
      <c r="AA128" s="164">
        <f t="shared" si="34"/>
        <v>0</v>
      </c>
      <c r="AB128" s="164"/>
      <c r="AC128" s="164">
        <f t="shared" si="34"/>
        <v>8543</v>
      </c>
      <c r="AD128" s="164">
        <f t="shared" si="34"/>
        <v>14678</v>
      </c>
      <c r="AE128" s="164">
        <f t="shared" si="34"/>
        <v>0</v>
      </c>
      <c r="AF128" s="164"/>
      <c r="AG128" s="164">
        <f t="shared" si="34"/>
        <v>760</v>
      </c>
      <c r="AH128" s="164">
        <f t="shared" si="34"/>
        <v>670</v>
      </c>
      <c r="AI128" s="164">
        <f t="shared" si="34"/>
        <v>0</v>
      </c>
      <c r="AJ128" s="164"/>
      <c r="AK128" s="164">
        <f t="shared" si="34"/>
        <v>1241.5820000000001</v>
      </c>
      <c r="AL128" s="164">
        <f t="shared" si="34"/>
        <v>1203.95</v>
      </c>
      <c r="AM128" s="164">
        <f t="shared" si="34"/>
        <v>0</v>
      </c>
      <c r="AN128" s="164"/>
      <c r="AO128" s="164">
        <f t="shared" si="34"/>
        <v>220</v>
      </c>
      <c r="AP128" s="164">
        <f t="shared" si="34"/>
        <v>176</v>
      </c>
      <c r="AQ128" s="164">
        <f t="shared" si="34"/>
        <v>0</v>
      </c>
      <c r="AR128" s="164"/>
      <c r="AS128" s="164">
        <f t="shared" si="34"/>
        <v>0</v>
      </c>
      <c r="AT128" s="164">
        <f t="shared" si="34"/>
        <v>0</v>
      </c>
      <c r="AU128" s="164">
        <f t="shared" si="34"/>
        <v>0</v>
      </c>
      <c r="AV128" s="164"/>
      <c r="AW128" s="164">
        <f t="shared" si="34"/>
        <v>2872</v>
      </c>
      <c r="AX128" s="164">
        <f t="shared" si="34"/>
        <v>2871</v>
      </c>
      <c r="AY128" s="164">
        <f t="shared" si="34"/>
        <v>0</v>
      </c>
      <c r="AZ128" s="164"/>
      <c r="BA128" s="164">
        <f t="shared" si="34"/>
        <v>46.835999999999999</v>
      </c>
      <c r="BB128" s="164">
        <f t="shared" si="34"/>
        <v>17.901</v>
      </c>
      <c r="BC128" s="164">
        <f t="shared" si="34"/>
        <v>0</v>
      </c>
      <c r="BD128" s="164"/>
      <c r="BE128" s="164">
        <f t="shared" si="34"/>
        <v>63</v>
      </c>
      <c r="BF128" s="164">
        <f t="shared" si="34"/>
        <v>0</v>
      </c>
      <c r="BG128" s="164">
        <f t="shared" si="34"/>
        <v>0</v>
      </c>
      <c r="BH128" s="164"/>
      <c r="BI128" s="164">
        <f t="shared" si="34"/>
        <v>489.71600000000001</v>
      </c>
      <c r="BJ128" s="164">
        <f t="shared" si="34"/>
        <v>445.60500000000002</v>
      </c>
      <c r="BK128" s="164">
        <f t="shared" si="34"/>
        <v>0</v>
      </c>
      <c r="BL128" s="164"/>
      <c r="BM128" s="164">
        <f t="shared" si="34"/>
        <v>1479</v>
      </c>
      <c r="BN128" s="164">
        <f t="shared" si="34"/>
        <v>1235</v>
      </c>
      <c r="BO128" s="164">
        <f t="shared" si="35"/>
        <v>0</v>
      </c>
      <c r="BP128" s="164"/>
      <c r="BQ128" s="164">
        <f t="shared" si="35"/>
        <v>220</v>
      </c>
      <c r="BR128" s="164">
        <f t="shared" si="35"/>
        <v>176</v>
      </c>
      <c r="BS128" s="164">
        <f t="shared" si="35"/>
        <v>0</v>
      </c>
      <c r="BT128" s="164"/>
      <c r="BU128" s="164">
        <f t="shared" si="35"/>
        <v>375</v>
      </c>
      <c r="BV128" s="164">
        <f t="shared" si="35"/>
        <v>216</v>
      </c>
      <c r="BW128" s="164">
        <f t="shared" si="35"/>
        <v>0</v>
      </c>
      <c r="BX128" s="164"/>
      <c r="BY128" s="164">
        <f t="shared" si="35"/>
        <v>445.58800000000002</v>
      </c>
      <c r="BZ128" s="164">
        <f t="shared" si="35"/>
        <v>146.61500000000001</v>
      </c>
      <c r="CA128" s="164">
        <f t="shared" si="35"/>
        <v>0</v>
      </c>
      <c r="CB128" s="164"/>
      <c r="CC128" s="164">
        <f t="shared" si="35"/>
        <v>1773</v>
      </c>
    </row>
    <row r="129" spans="1:82" x14ac:dyDescent="0.2">
      <c r="A129" s="74"/>
      <c r="B129" s="175" t="s">
        <v>305</v>
      </c>
      <c r="E129" s="55">
        <f>(E45-F45)/E142</f>
        <v>477</v>
      </c>
      <c r="F129" s="120"/>
      <c r="I129" s="55">
        <f>(I45-J45)/I142</f>
        <v>0</v>
      </c>
      <c r="J129" s="120"/>
      <c r="M129" s="55">
        <f>(M45-N45)/M142</f>
        <v>167</v>
      </c>
      <c r="N129" s="120"/>
      <c r="Q129" s="55">
        <f>(Q45-R45)/Q142</f>
        <v>100</v>
      </c>
      <c r="R129" s="120"/>
      <c r="U129" s="55">
        <f>(U45-V45)/U142</f>
        <v>381.03500000000003</v>
      </c>
      <c r="V129" s="120"/>
      <c r="Y129" s="55">
        <f>(Y45-Z45)/Y142</f>
        <v>0</v>
      </c>
      <c r="Z129" s="120"/>
      <c r="AC129" s="55">
        <f>(AC45-AD45)/AC142</f>
        <v>908</v>
      </c>
      <c r="AD129" s="120"/>
      <c r="AG129" s="55">
        <f>(AG45-AH45)/AG142</f>
        <v>90</v>
      </c>
      <c r="AH129" s="120"/>
      <c r="AK129" s="55">
        <f>(AK45-AL45)/AK142</f>
        <v>37.632000000000062</v>
      </c>
      <c r="AL129" s="120"/>
      <c r="AO129" s="55">
        <f>(AO45-AP45)/AO142</f>
        <v>24</v>
      </c>
      <c r="AP129" s="120"/>
      <c r="AS129" s="55">
        <f>(AS45-AT45)/AS142</f>
        <v>0</v>
      </c>
      <c r="AT129" s="120"/>
      <c r="AW129" s="55">
        <f>(AW45-AX45)/AW142</f>
        <v>8</v>
      </c>
      <c r="AX129" s="120"/>
      <c r="BA129" s="55">
        <f>(BA45-BB45)/BA142</f>
        <v>0</v>
      </c>
      <c r="BB129" s="120"/>
      <c r="BE129" s="55">
        <f>(BE45-BF45)/BE142</f>
        <v>63</v>
      </c>
      <c r="BF129" s="120"/>
      <c r="BI129" s="55">
        <f>(BI45-BJ45)/BI142</f>
        <v>-18.72399999999999</v>
      </c>
      <c r="BJ129" s="120"/>
      <c r="BM129" s="55">
        <f>(BM45-BN45)/BM142</f>
        <v>283</v>
      </c>
      <c r="BN129" s="120"/>
      <c r="BQ129" s="55" t="e">
        <f>(BQ45-BR45)/BQ142</f>
        <v>#DIV/0!</v>
      </c>
      <c r="BR129" s="120"/>
      <c r="BU129" s="55">
        <f>(BU45-BV45)/BU142</f>
        <v>159</v>
      </c>
      <c r="BV129" s="120"/>
      <c r="BY129" s="55">
        <f>(BY45-BZ45)/BY142</f>
        <v>298.97300000000001</v>
      </c>
      <c r="BZ129" s="120"/>
      <c r="CC129" s="55">
        <f>(CC45-CD45)/CC142</f>
        <v>0</v>
      </c>
      <c r="CD129" s="120"/>
    </row>
    <row r="130" spans="1:82" x14ac:dyDescent="0.2">
      <c r="A130" s="74"/>
      <c r="B130" s="175" t="s">
        <v>306</v>
      </c>
      <c r="C130" s="55" t="e">
        <f>(C46-E46)/C142</f>
        <v>#DIV/0!</v>
      </c>
      <c r="D130" s="55"/>
      <c r="E130" s="55">
        <f>(E46-F46)/E142</f>
        <v>332</v>
      </c>
      <c r="F130" s="55" t="e">
        <f>(F46-G46)/F142</f>
        <v>#DIV/0!</v>
      </c>
      <c r="G130" s="55" t="e">
        <f>(G46-I46)/G142</f>
        <v>#DIV/0!</v>
      </c>
      <c r="H130" s="55"/>
      <c r="I130" s="55">
        <f>(I46-J46)/I142</f>
        <v>0</v>
      </c>
      <c r="J130" s="55" t="e">
        <f>(J46-K46)/J142</f>
        <v>#DIV/0!</v>
      </c>
      <c r="K130" s="55" t="e">
        <f>(K46-M46)/K142</f>
        <v>#DIV/0!</v>
      </c>
      <c r="L130" s="55"/>
      <c r="M130" s="55">
        <f>(M46-N46)/M142</f>
        <v>188</v>
      </c>
      <c r="N130" s="55" t="e">
        <f>(N46-O46)/N142</f>
        <v>#DIV/0!</v>
      </c>
      <c r="O130" s="55" t="e">
        <f>(O46-Q46)/O142</f>
        <v>#DIV/0!</v>
      </c>
      <c r="P130" s="55"/>
      <c r="Q130" s="55">
        <f>(Q46-R46)/Q142</f>
        <v>100</v>
      </c>
      <c r="R130" s="55" t="e">
        <f>(R46-S46)/R142</f>
        <v>#DIV/0!</v>
      </c>
      <c r="S130" s="55" t="e">
        <f>(S46-U46)/S142</f>
        <v>#DIV/0!</v>
      </c>
      <c r="T130" s="55"/>
      <c r="U130" s="55">
        <f>(U46-V46)/U142</f>
        <v>631.03500000000008</v>
      </c>
      <c r="V130" s="55" t="e">
        <f>(V46-W46)/V142</f>
        <v>#DIV/0!</v>
      </c>
      <c r="W130" s="55" t="e">
        <f>(W46-Y46)/W142</f>
        <v>#DIV/0!</v>
      </c>
      <c r="X130" s="55"/>
      <c r="Y130" s="55">
        <f>(Y46-Z46)/Y142</f>
        <v>0</v>
      </c>
      <c r="Z130" s="55" t="e">
        <f>(Z46-AA46)/Z142</f>
        <v>#DIV/0!</v>
      </c>
      <c r="AA130" s="55" t="e">
        <f>(AA46-AC46)/AA142</f>
        <v>#DIV/0!</v>
      </c>
      <c r="AB130" s="55"/>
      <c r="AC130" s="55">
        <f>(AC46-AD46)/AC142</f>
        <v>-6135</v>
      </c>
      <c r="AD130" s="55" t="e">
        <f>(AD46-AE46)/AD142</f>
        <v>#DIV/0!</v>
      </c>
      <c r="AE130" s="55" t="e">
        <f>(AE46-AG46)/AE142</f>
        <v>#DIV/0!</v>
      </c>
      <c r="AF130" s="55"/>
      <c r="AG130" s="55">
        <f>(AG46-AH46)/AG142</f>
        <v>90</v>
      </c>
      <c r="AH130" s="55" t="e">
        <f>(AH46-AI46)/AH142</f>
        <v>#DIV/0!</v>
      </c>
      <c r="AI130" s="55" t="e">
        <f>(AI46-AK46)/AI142</f>
        <v>#DIV/0!</v>
      </c>
      <c r="AJ130" s="55"/>
      <c r="AK130" s="55">
        <f>(AK46-AL46)/AK142</f>
        <v>37.632000000000062</v>
      </c>
      <c r="AL130" s="55" t="e">
        <f>(AL46-AM46)/AL142</f>
        <v>#DIV/0!</v>
      </c>
      <c r="AM130" s="55" t="e">
        <f>(AM46-AO46)/AM142</f>
        <v>#DIV/0!</v>
      </c>
      <c r="AN130" s="55"/>
      <c r="AO130" s="55">
        <f>(AO46-AP46)/AO142</f>
        <v>44</v>
      </c>
      <c r="AP130" s="55" t="e">
        <f>(AP46-AQ46)/AP142</f>
        <v>#DIV/0!</v>
      </c>
      <c r="AQ130" s="55" t="e">
        <f>(AQ46-AS46)/AQ142</f>
        <v>#DIV/0!</v>
      </c>
      <c r="AR130" s="55"/>
      <c r="AS130" s="55">
        <f>(AS46-AT46)/AS142</f>
        <v>0</v>
      </c>
      <c r="AT130" s="55" t="e">
        <f>(AT46-AU46)/AT142</f>
        <v>#DIV/0!</v>
      </c>
      <c r="AU130" s="55" t="e">
        <f>(AU46-AW46)/AU142</f>
        <v>#DIV/0!</v>
      </c>
      <c r="AV130" s="55"/>
      <c r="AW130" s="55">
        <f>(AW46-AX46)/AW142</f>
        <v>1</v>
      </c>
      <c r="AX130" s="55" t="e">
        <f>(AX46-AY46)/AX142</f>
        <v>#DIV/0!</v>
      </c>
      <c r="AY130" s="55" t="e">
        <f>(AY46-BA46)/AY142</f>
        <v>#DIV/0!</v>
      </c>
      <c r="AZ130" s="55"/>
      <c r="BA130" s="55">
        <f>(BA46-BB46)/BA142</f>
        <v>28.934999999999999</v>
      </c>
      <c r="BB130" s="55" t="e">
        <f>(BB46-BC46)/BB142</f>
        <v>#DIV/0!</v>
      </c>
      <c r="BC130" s="55" t="e">
        <f>(BC46-BE46)/BC142</f>
        <v>#DIV/0!</v>
      </c>
      <c r="BD130" s="55"/>
      <c r="BE130" s="55">
        <f>(BE46-BF46)/BE142</f>
        <v>63</v>
      </c>
      <c r="BF130" s="55" t="e">
        <f>(BF46-BG46)/BF142</f>
        <v>#DIV/0!</v>
      </c>
      <c r="BG130" s="55" t="e">
        <f>(BG46-BI46)/BG142</f>
        <v>#DIV/0!</v>
      </c>
      <c r="BH130" s="55"/>
      <c r="BI130" s="55">
        <f>(BI46-BJ46)/BI142</f>
        <v>44.11099999999999</v>
      </c>
      <c r="BJ130" s="55" t="e">
        <f>(BJ46-BK46)/BJ142</f>
        <v>#DIV/0!</v>
      </c>
      <c r="BK130" s="55" t="e">
        <f>(BK46-BM46)/BK142</f>
        <v>#DIV/0!</v>
      </c>
      <c r="BL130" s="55"/>
      <c r="BM130" s="55">
        <f>(BM46-BN46)/BM142</f>
        <v>244</v>
      </c>
      <c r="BN130" s="55" t="e">
        <f>(BN46-BO46)/BN142</f>
        <v>#DIV/0!</v>
      </c>
      <c r="BO130" s="55" t="e">
        <f>(BO46-BQ46)/BO142</f>
        <v>#DIV/0!</v>
      </c>
      <c r="BP130" s="55"/>
      <c r="BQ130" s="55" t="e">
        <f>(BQ46-BR46)/BQ142</f>
        <v>#DIV/0!</v>
      </c>
      <c r="BR130" s="55">
        <f>(BR46-BS46)/BR142</f>
        <v>-176</v>
      </c>
      <c r="BS130" s="55" t="e">
        <f>(BS46-BU46)/BS142</f>
        <v>#DIV/0!</v>
      </c>
      <c r="BT130" s="55"/>
      <c r="BU130" s="55">
        <f>(BU46-BV46)/BU142</f>
        <v>159</v>
      </c>
      <c r="BV130" s="55" t="e">
        <f>(BV46-BW46)/BV142</f>
        <v>#DIV/0!</v>
      </c>
      <c r="BW130" s="55" t="e">
        <f>(BW46-BY46)/BW142</f>
        <v>#DIV/0!</v>
      </c>
      <c r="BX130" s="55"/>
      <c r="BY130" s="55">
        <f>(BY46-BZ46)/BY142</f>
        <v>298.97300000000001</v>
      </c>
      <c r="BZ130" s="55" t="e">
        <f>(BZ46-CA46)/BZ142</f>
        <v>#DIV/0!</v>
      </c>
      <c r="CA130" s="55" t="e">
        <f>(CA46-CC46)/CA142</f>
        <v>#DIV/0!</v>
      </c>
      <c r="CB130" s="55"/>
      <c r="CC130" s="55">
        <f>(CC46-CD46)/CC142</f>
        <v>-2.1296018257161733</v>
      </c>
      <c r="CD130" s="120"/>
    </row>
    <row r="131" spans="1:82" s="85" customFormat="1" ht="14.25" customHeight="1" x14ac:dyDescent="0.2">
      <c r="C131" s="91"/>
      <c r="D131" s="92"/>
      <c r="G131" s="91"/>
      <c r="H131" s="92"/>
      <c r="K131" s="91"/>
      <c r="L131" s="92"/>
      <c r="O131" s="91"/>
      <c r="P131" s="92"/>
      <c r="S131" s="91"/>
      <c r="T131" s="92"/>
      <c r="W131" s="91"/>
      <c r="X131" s="92"/>
      <c r="AA131" s="91"/>
      <c r="AB131" s="92"/>
      <c r="AE131" s="91"/>
      <c r="AF131" s="92"/>
      <c r="AI131" s="91"/>
      <c r="AJ131" s="92"/>
      <c r="AM131" s="91"/>
      <c r="AN131" s="92"/>
      <c r="AQ131" s="91"/>
      <c r="AR131" s="92"/>
      <c r="AU131" s="91"/>
      <c r="AV131" s="92"/>
      <c r="AY131" s="91"/>
      <c r="AZ131" s="92"/>
      <c r="BC131" s="91"/>
      <c r="BD131" s="92"/>
      <c r="BG131" s="91"/>
      <c r="BH131" s="92"/>
      <c r="BK131" s="91"/>
      <c r="BL131" s="92"/>
      <c r="BO131" s="91"/>
      <c r="BP131" s="92"/>
      <c r="BS131" s="91"/>
      <c r="BT131" s="92"/>
      <c r="BW131" s="91"/>
      <c r="BX131" s="92"/>
      <c r="CA131" s="91"/>
      <c r="CB131" s="92"/>
    </row>
    <row r="132" spans="1:82" s="85" customFormat="1" ht="14.25" customHeight="1" x14ac:dyDescent="0.2">
      <c r="C132" s="91"/>
      <c r="D132" s="92"/>
      <c r="G132" s="91"/>
      <c r="H132" s="92"/>
      <c r="K132" s="91"/>
      <c r="L132" s="92"/>
      <c r="O132" s="91"/>
      <c r="P132" s="92"/>
      <c r="S132" s="91"/>
      <c r="T132" s="92"/>
      <c r="W132" s="91"/>
      <c r="X132" s="92"/>
      <c r="AA132" s="91"/>
      <c r="AB132" s="92"/>
      <c r="AE132" s="91"/>
      <c r="AF132" s="92"/>
      <c r="AI132" s="91"/>
      <c r="AJ132" s="92"/>
      <c r="AM132" s="91"/>
      <c r="AN132" s="92"/>
      <c r="AQ132" s="91"/>
      <c r="AR132" s="92"/>
      <c r="AU132" s="91"/>
      <c r="AV132" s="92"/>
      <c r="AY132" s="91"/>
      <c r="AZ132" s="92"/>
      <c r="BC132" s="91"/>
      <c r="BD132" s="92"/>
      <c r="BG132" s="91"/>
      <c r="BH132" s="92"/>
      <c r="BK132" s="91"/>
      <c r="BL132" s="92"/>
      <c r="BO132" s="91"/>
      <c r="BP132" s="92"/>
      <c r="BS132" s="91"/>
      <c r="BT132" s="92"/>
      <c r="BW132" s="91"/>
      <c r="BX132" s="92"/>
      <c r="CA132" s="91"/>
      <c r="CB132" s="92"/>
    </row>
    <row r="133" spans="1:82" x14ac:dyDescent="0.2">
      <c r="B133" s="65"/>
      <c r="E133" s="150"/>
      <c r="F133" s="150"/>
      <c r="I133" s="150"/>
      <c r="J133" s="150"/>
      <c r="M133" s="150"/>
      <c r="N133" s="150"/>
      <c r="Q133" s="150"/>
      <c r="R133" s="150"/>
      <c r="U133" s="150"/>
      <c r="V133" s="150"/>
      <c r="Y133" s="150"/>
      <c r="Z133" s="150"/>
      <c r="AC133" s="150"/>
      <c r="AD133" s="150"/>
      <c r="AG133" s="150"/>
      <c r="AH133" s="150"/>
      <c r="AK133" s="150"/>
      <c r="AL133" s="150"/>
      <c r="AO133" s="150"/>
      <c r="AP133" s="150"/>
      <c r="AS133" s="150"/>
      <c r="AT133" s="150"/>
      <c r="AW133" s="150"/>
      <c r="AX133" s="150"/>
      <c r="BA133" s="150"/>
      <c r="BB133" s="150"/>
      <c r="BE133" s="150"/>
      <c r="BF133" s="150"/>
      <c r="BI133" s="150"/>
      <c r="BJ133" s="150"/>
      <c r="BM133" s="150"/>
      <c r="BN133" s="150"/>
      <c r="BQ133" s="150"/>
      <c r="BR133" s="150"/>
      <c r="BU133" s="150"/>
      <c r="BV133" s="150"/>
      <c r="BY133" s="150"/>
      <c r="BZ133" s="150"/>
      <c r="CC133" s="150"/>
      <c r="CD133" s="150"/>
    </row>
    <row r="134" spans="1:82" x14ac:dyDescent="0.2">
      <c r="A134" s="74"/>
      <c r="B134" s="144"/>
      <c r="E134" s="8"/>
      <c r="F134" s="120"/>
      <c r="I134" s="8"/>
      <c r="J134" s="120"/>
      <c r="M134" s="8"/>
      <c r="N134" s="120"/>
      <c r="Q134" s="8"/>
      <c r="R134" s="120"/>
      <c r="U134" s="8"/>
      <c r="V134" s="120"/>
      <c r="Y134" s="8"/>
      <c r="Z134" s="120"/>
      <c r="AC134" s="8"/>
      <c r="AD134" s="120"/>
      <c r="AG134" s="8"/>
      <c r="AH134" s="120"/>
      <c r="AK134" s="8"/>
      <c r="AL134" s="120"/>
      <c r="AO134" s="8"/>
      <c r="AP134" s="120"/>
      <c r="AS134" s="8"/>
      <c r="AT134" s="120"/>
      <c r="AW134" s="8"/>
      <c r="AX134" s="120"/>
      <c r="BA134" s="8"/>
      <c r="BB134" s="120"/>
      <c r="BE134" s="8"/>
      <c r="BF134" s="120"/>
      <c r="BI134" s="8"/>
      <c r="BJ134" s="120"/>
      <c r="BM134" s="8"/>
      <c r="BN134" s="120"/>
      <c r="BQ134" s="8"/>
      <c r="BR134" s="120"/>
      <c r="BU134" s="8"/>
      <c r="BV134" s="120"/>
      <c r="BY134" s="8"/>
      <c r="BZ134" s="120"/>
      <c r="CC134" s="8"/>
      <c r="CD134" s="120"/>
    </row>
    <row r="135" spans="1:82" x14ac:dyDescent="0.2">
      <c r="A135" s="161"/>
      <c r="E135" s="177"/>
      <c r="F135" s="177"/>
      <c r="I135" s="177"/>
      <c r="J135" s="177"/>
      <c r="M135" s="177"/>
      <c r="N135" s="177"/>
      <c r="Q135" s="177"/>
      <c r="R135" s="177"/>
      <c r="U135" s="177"/>
      <c r="V135" s="177"/>
      <c r="Y135" s="177"/>
      <c r="Z135" s="177"/>
      <c r="AC135" s="177"/>
      <c r="AD135" s="177"/>
      <c r="AG135" s="177"/>
      <c r="AH135" s="177"/>
      <c r="AK135" s="177"/>
      <c r="AL135" s="177"/>
      <c r="AO135" s="177"/>
      <c r="AP135" s="177"/>
      <c r="AS135" s="177"/>
      <c r="AT135" s="177"/>
      <c r="AW135" s="177"/>
      <c r="AX135" s="177"/>
      <c r="BA135" s="177"/>
      <c r="BB135" s="177"/>
      <c r="BE135" s="177"/>
      <c r="BF135" s="177"/>
      <c r="BI135" s="177"/>
      <c r="BJ135" s="177"/>
      <c r="BM135" s="177"/>
      <c r="BN135" s="177"/>
      <c r="BQ135" s="177"/>
      <c r="BR135" s="177"/>
      <c r="BU135" s="177"/>
      <c r="BV135" s="177"/>
      <c r="BY135" s="177"/>
      <c r="BZ135" s="177"/>
      <c r="CC135" s="177"/>
      <c r="CD135" s="177"/>
    </row>
    <row r="136" spans="1:82" s="27" customFormat="1" ht="15.75" x14ac:dyDescent="0.25">
      <c r="A136" s="201" t="s">
        <v>307</v>
      </c>
      <c r="B136" s="178"/>
      <c r="C136" s="23"/>
      <c r="D136" s="23"/>
      <c r="E136" s="180"/>
      <c r="F136" s="180"/>
      <c r="G136" s="23"/>
      <c r="H136" s="23"/>
      <c r="I136" s="180"/>
      <c r="J136" s="180"/>
      <c r="K136" s="23"/>
      <c r="L136" s="23"/>
      <c r="M136" s="180"/>
      <c r="N136" s="180"/>
      <c r="O136" s="23"/>
      <c r="P136" s="23"/>
      <c r="Q136" s="180"/>
      <c r="R136" s="180"/>
      <c r="S136" s="23"/>
      <c r="T136" s="23"/>
      <c r="U136" s="180"/>
      <c r="V136" s="180"/>
      <c r="W136" s="23"/>
      <c r="X136" s="23"/>
      <c r="Y136" s="180"/>
      <c r="Z136" s="180"/>
      <c r="AA136" s="23"/>
      <c r="AB136" s="23"/>
      <c r="AC136" s="180"/>
      <c r="AD136" s="180"/>
      <c r="AE136" s="23"/>
      <c r="AF136" s="23"/>
      <c r="AG136" s="180"/>
      <c r="AH136" s="180"/>
      <c r="AI136" s="23"/>
      <c r="AJ136" s="23"/>
      <c r="AK136" s="180"/>
      <c r="AL136" s="180"/>
      <c r="AM136" s="23"/>
      <c r="AN136" s="23"/>
      <c r="AO136" s="180"/>
      <c r="AP136" s="180"/>
      <c r="AQ136" s="23"/>
      <c r="AR136" s="23"/>
      <c r="AS136" s="180"/>
      <c r="AT136" s="180"/>
      <c r="AU136" s="23"/>
      <c r="AV136" s="23"/>
      <c r="AW136" s="180"/>
      <c r="AX136" s="180"/>
      <c r="AY136" s="23"/>
      <c r="AZ136" s="23"/>
      <c r="BA136" s="180"/>
      <c r="BB136" s="180"/>
      <c r="BC136" s="23"/>
      <c r="BD136" s="23"/>
      <c r="BE136" s="180"/>
      <c r="BF136" s="180"/>
      <c r="BG136" s="23"/>
      <c r="BH136" s="23"/>
      <c r="BI136" s="180"/>
      <c r="BJ136" s="180"/>
      <c r="BK136" s="23"/>
      <c r="BL136" s="23"/>
      <c r="BM136" s="180"/>
      <c r="BN136" s="180"/>
      <c r="BO136" s="23"/>
      <c r="BP136" s="23"/>
      <c r="BQ136" s="180"/>
      <c r="BR136" s="180"/>
      <c r="BS136" s="23"/>
      <c r="BT136" s="23"/>
      <c r="BU136" s="180"/>
      <c r="BV136" s="180"/>
      <c r="BW136" s="23"/>
      <c r="BX136" s="23"/>
      <c r="BY136" s="180"/>
      <c r="BZ136" s="180"/>
      <c r="CA136" s="23"/>
      <c r="CB136" s="23"/>
      <c r="CC136" s="180"/>
      <c r="CD136" s="180"/>
    </row>
    <row r="137" spans="1:82" x14ac:dyDescent="0.2">
      <c r="A137" s="161"/>
      <c r="E137" s="177"/>
      <c r="F137" s="177"/>
      <c r="I137" s="177"/>
      <c r="J137" s="177"/>
      <c r="M137" s="177"/>
      <c r="N137" s="177"/>
      <c r="Q137" s="177"/>
      <c r="R137" s="177"/>
      <c r="U137" s="177"/>
      <c r="V137" s="177"/>
      <c r="Y137" s="177"/>
      <c r="Z137" s="177"/>
      <c r="AC137" s="177"/>
      <c r="AD137" s="177"/>
      <c r="AG137" s="177"/>
      <c r="AH137" s="177"/>
      <c r="AK137" s="177"/>
      <c r="AL137" s="177"/>
      <c r="AO137" s="177"/>
      <c r="AP137" s="177"/>
      <c r="AS137" s="177"/>
      <c r="AT137" s="177"/>
      <c r="AW137" s="177"/>
      <c r="AX137" s="177"/>
      <c r="BA137" s="177"/>
      <c r="BB137" s="177"/>
      <c r="BE137" s="177"/>
      <c r="BF137" s="177"/>
      <c r="BI137" s="177"/>
      <c r="BJ137" s="177"/>
      <c r="BM137" s="177"/>
      <c r="BN137" s="177"/>
      <c r="BQ137" s="177"/>
      <c r="BR137" s="177"/>
      <c r="BU137" s="177"/>
      <c r="BV137" s="177"/>
      <c r="BY137" s="177"/>
      <c r="BZ137" s="177"/>
      <c r="CC137" s="177"/>
      <c r="CD137" s="177"/>
    </row>
    <row r="138" spans="1:82" x14ac:dyDescent="0.2">
      <c r="A138" s="161"/>
      <c r="E138" s="177"/>
      <c r="F138" s="177"/>
      <c r="I138" s="177"/>
      <c r="J138" s="177"/>
      <c r="M138" s="177"/>
      <c r="N138" s="177"/>
      <c r="Q138" s="177"/>
      <c r="R138" s="177"/>
      <c r="U138" s="177"/>
      <c r="V138" s="177"/>
      <c r="Y138" s="177"/>
      <c r="Z138" s="177"/>
      <c r="AC138" s="177"/>
      <c r="AD138" s="177"/>
      <c r="AG138" s="177"/>
      <c r="AH138" s="177"/>
      <c r="AK138" s="177"/>
      <c r="AL138" s="177"/>
      <c r="AO138" s="177"/>
      <c r="AP138" s="177"/>
      <c r="AS138" s="177"/>
      <c r="AT138" s="177"/>
      <c r="AW138" s="177"/>
      <c r="AX138" s="177"/>
      <c r="BA138" s="177"/>
      <c r="BB138" s="177"/>
      <c r="BE138" s="177"/>
      <c r="BF138" s="177"/>
      <c r="BI138" s="177"/>
      <c r="BJ138" s="177"/>
      <c r="BM138" s="177"/>
      <c r="BN138" s="177"/>
      <c r="BQ138" s="177"/>
      <c r="BR138" s="177"/>
      <c r="BU138" s="177"/>
      <c r="BV138" s="177"/>
      <c r="BY138" s="177"/>
      <c r="BZ138" s="177"/>
      <c r="CC138" s="177"/>
      <c r="CD138" s="177"/>
    </row>
    <row r="139" spans="1:82" x14ac:dyDescent="0.2">
      <c r="A139" s="13" t="s">
        <v>308</v>
      </c>
      <c r="E139" s="202">
        <v>2004.25</v>
      </c>
      <c r="F139" s="203"/>
      <c r="I139" s="202">
        <v>2004.25</v>
      </c>
      <c r="J139" s="203"/>
      <c r="M139" s="202">
        <v>2003.5</v>
      </c>
      <c r="N139" s="203"/>
      <c r="Q139" s="202">
        <v>2004.25</v>
      </c>
      <c r="R139" s="203"/>
      <c r="U139" s="202">
        <v>2004.25</v>
      </c>
      <c r="V139" s="203"/>
      <c r="Y139" s="202">
        <v>2004.25</v>
      </c>
      <c r="Z139" s="203"/>
      <c r="AC139" s="202">
        <v>2004.5</v>
      </c>
      <c r="AD139" s="203"/>
      <c r="AG139" s="202">
        <v>2004.5</v>
      </c>
      <c r="AH139" s="203"/>
      <c r="AK139" s="202">
        <v>2004.25</v>
      </c>
      <c r="AL139" s="203"/>
      <c r="AO139" s="202">
        <v>2004.25</v>
      </c>
      <c r="AP139" s="203"/>
      <c r="AS139" s="202">
        <v>2004.25</v>
      </c>
      <c r="AT139" s="203"/>
      <c r="AW139" s="202">
        <v>2004.75</v>
      </c>
      <c r="AX139" s="203"/>
      <c r="BA139" s="202">
        <v>2004.25</v>
      </c>
      <c r="BB139" s="203"/>
      <c r="BE139" s="202">
        <v>2004.5</v>
      </c>
      <c r="BF139" s="203"/>
      <c r="BI139" s="202">
        <v>2004.25</v>
      </c>
      <c r="BJ139" s="203"/>
      <c r="BM139" s="202">
        <v>2004.5</v>
      </c>
      <c r="BN139" s="203"/>
      <c r="BQ139" s="203"/>
      <c r="BR139" s="202">
        <v>2003.25</v>
      </c>
      <c r="BU139" s="202">
        <v>2004.25</v>
      </c>
      <c r="BV139" s="203"/>
      <c r="BY139" s="202">
        <v>2004.25</v>
      </c>
      <c r="BZ139" s="203"/>
      <c r="CC139" s="202">
        <v>2004.25</v>
      </c>
      <c r="CD139" s="203"/>
    </row>
    <row r="140" spans="1:82" x14ac:dyDescent="0.2">
      <c r="A140" s="13" t="s">
        <v>309</v>
      </c>
      <c r="E140" s="202">
        <v>2003.75</v>
      </c>
      <c r="F140" s="203"/>
      <c r="I140" s="202">
        <v>2003.75</v>
      </c>
      <c r="J140" s="203"/>
      <c r="M140" s="202">
        <v>2003</v>
      </c>
      <c r="N140" s="203"/>
      <c r="Q140" s="202">
        <v>2003.75</v>
      </c>
      <c r="R140" s="203"/>
      <c r="U140" s="202">
        <v>2003.75</v>
      </c>
      <c r="V140" s="203"/>
      <c r="Y140" s="202">
        <v>2003.75</v>
      </c>
      <c r="Z140" s="203"/>
      <c r="AC140" s="202">
        <v>2004</v>
      </c>
      <c r="AD140" s="203"/>
      <c r="AG140" s="202">
        <v>2004</v>
      </c>
      <c r="AH140" s="203"/>
      <c r="AK140" s="202">
        <v>2003.75</v>
      </c>
      <c r="AL140" s="203"/>
      <c r="AO140" s="202">
        <v>2003.75</v>
      </c>
      <c r="AP140" s="203"/>
      <c r="AS140" s="202">
        <v>2003.75</v>
      </c>
      <c r="AT140" s="203"/>
      <c r="AW140" s="202">
        <v>2004.25</v>
      </c>
      <c r="AX140" s="203"/>
      <c r="BA140" s="202">
        <v>2003.75</v>
      </c>
      <c r="BB140" s="203"/>
      <c r="BE140" s="202">
        <v>2004</v>
      </c>
      <c r="BF140" s="203"/>
      <c r="BI140" s="202">
        <v>2003.75</v>
      </c>
      <c r="BJ140" s="203"/>
      <c r="BM140" s="202">
        <v>2004</v>
      </c>
      <c r="BN140" s="203"/>
      <c r="BQ140" s="203"/>
      <c r="BR140" s="202">
        <v>2003.75</v>
      </c>
      <c r="BU140" s="202">
        <v>2003.75</v>
      </c>
      <c r="BV140" s="203"/>
      <c r="BY140" s="202">
        <v>2003.75</v>
      </c>
      <c r="BZ140" s="203"/>
      <c r="CC140" s="202">
        <v>2420.5250000000001</v>
      </c>
      <c r="CD140" s="203"/>
    </row>
    <row r="141" spans="1:82" s="186" customFormat="1" x14ac:dyDescent="0.2">
      <c r="A141" s="182" t="s">
        <v>310</v>
      </c>
      <c r="B141" s="183"/>
      <c r="C141" s="184"/>
      <c r="D141" s="185"/>
      <c r="E141" s="182">
        <v>2003</v>
      </c>
      <c r="F141" s="182"/>
      <c r="G141" s="184"/>
      <c r="H141" s="185"/>
      <c r="I141" s="182">
        <v>2003</v>
      </c>
      <c r="J141" s="182"/>
      <c r="K141" s="184"/>
      <c r="L141" s="185"/>
      <c r="M141" s="182">
        <v>2003</v>
      </c>
      <c r="N141" s="182"/>
      <c r="O141" s="184"/>
      <c r="P141" s="185"/>
      <c r="Q141" s="182">
        <v>2003</v>
      </c>
      <c r="R141" s="182"/>
      <c r="S141" s="184"/>
      <c r="T141" s="185"/>
      <c r="U141" s="182">
        <v>2003</v>
      </c>
      <c r="V141" s="182"/>
      <c r="W141" s="184"/>
      <c r="X141" s="185"/>
      <c r="Y141" s="182">
        <v>2003</v>
      </c>
      <c r="Z141" s="182"/>
      <c r="AA141" s="184"/>
      <c r="AB141" s="185"/>
      <c r="AC141" s="182">
        <v>2004</v>
      </c>
      <c r="AD141" s="182"/>
      <c r="AE141" s="184"/>
      <c r="AF141" s="185"/>
      <c r="AG141" s="182">
        <v>2004</v>
      </c>
      <c r="AH141" s="182"/>
      <c r="AI141" s="184"/>
      <c r="AJ141" s="185"/>
      <c r="AK141" s="182">
        <v>2003</v>
      </c>
      <c r="AL141" s="182"/>
      <c r="AM141" s="184"/>
      <c r="AN141" s="185"/>
      <c r="AO141" s="182">
        <v>2003</v>
      </c>
      <c r="AP141" s="182"/>
      <c r="AQ141" s="184"/>
      <c r="AR141" s="185"/>
      <c r="AS141" s="182">
        <v>2003</v>
      </c>
      <c r="AT141" s="182"/>
      <c r="AU141" s="184"/>
      <c r="AV141" s="185"/>
      <c r="AW141" s="182">
        <v>2004</v>
      </c>
      <c r="AX141" s="182"/>
      <c r="AY141" s="184"/>
      <c r="AZ141" s="185"/>
      <c r="BA141" s="182">
        <v>2003</v>
      </c>
      <c r="BB141" s="182"/>
      <c r="BC141" s="184"/>
      <c r="BD141" s="185"/>
      <c r="BE141" s="182">
        <v>2004</v>
      </c>
      <c r="BF141" s="182"/>
      <c r="BG141" s="184"/>
      <c r="BH141" s="185"/>
      <c r="BI141" s="182">
        <v>2003</v>
      </c>
      <c r="BJ141" s="182"/>
      <c r="BK141" s="184"/>
      <c r="BL141" s="185"/>
      <c r="BM141" s="182">
        <v>2004</v>
      </c>
      <c r="BN141" s="182"/>
      <c r="BO141" s="184"/>
      <c r="BP141" s="185"/>
      <c r="BQ141" s="182"/>
      <c r="BR141" s="182">
        <v>2002</v>
      </c>
      <c r="BS141" s="184"/>
      <c r="BT141" s="185"/>
      <c r="BU141" s="182">
        <v>2003</v>
      </c>
      <c r="BV141" s="182"/>
      <c r="BW141" s="184"/>
      <c r="BX141" s="185"/>
      <c r="BY141" s="182">
        <v>2003</v>
      </c>
      <c r="BZ141" s="182"/>
      <c r="CA141" s="184"/>
      <c r="CB141" s="185"/>
      <c r="CC141" s="182">
        <v>2003</v>
      </c>
      <c r="CD141" s="182"/>
    </row>
    <row r="142" spans="1:82" x14ac:dyDescent="0.2">
      <c r="A142" s="13" t="s">
        <v>311</v>
      </c>
      <c r="E142" s="202">
        <v>1</v>
      </c>
      <c r="F142" s="203"/>
      <c r="I142" s="202">
        <v>1</v>
      </c>
      <c r="J142" s="203"/>
      <c r="M142" s="202">
        <v>1</v>
      </c>
      <c r="N142" s="203"/>
      <c r="Q142" s="202">
        <v>1</v>
      </c>
      <c r="R142" s="203"/>
      <c r="U142" s="202">
        <v>1</v>
      </c>
      <c r="V142" s="203"/>
      <c r="Y142" s="202">
        <v>1</v>
      </c>
      <c r="Z142" s="203"/>
      <c r="AC142" s="202">
        <v>1</v>
      </c>
      <c r="AD142" s="203"/>
      <c r="AG142" s="202">
        <v>1</v>
      </c>
      <c r="AH142" s="203"/>
      <c r="AK142" s="202">
        <v>1</v>
      </c>
      <c r="AL142" s="203"/>
      <c r="AO142" s="202">
        <v>1</v>
      </c>
      <c r="AP142" s="203"/>
      <c r="AS142" s="202">
        <v>1</v>
      </c>
      <c r="AT142" s="203"/>
      <c r="AW142" s="202">
        <v>1</v>
      </c>
      <c r="AX142" s="203"/>
      <c r="BA142" s="202">
        <v>1</v>
      </c>
      <c r="BB142" s="203"/>
      <c r="BE142" s="202">
        <v>1</v>
      </c>
      <c r="BF142" s="203"/>
      <c r="BI142" s="202">
        <v>1</v>
      </c>
      <c r="BJ142" s="203"/>
      <c r="BM142" s="202">
        <v>1</v>
      </c>
      <c r="BN142" s="203"/>
      <c r="BQ142" s="203"/>
      <c r="BR142" s="202">
        <v>-1</v>
      </c>
      <c r="BU142" s="202">
        <v>1</v>
      </c>
      <c r="BV142" s="203"/>
      <c r="BY142" s="202">
        <v>1</v>
      </c>
      <c r="BZ142" s="203"/>
      <c r="CC142" s="202">
        <v>-832.55</v>
      </c>
      <c r="CD142" s="203"/>
    </row>
    <row r="143" spans="1:82" s="187" customFormat="1" x14ac:dyDescent="0.2">
      <c r="B143" s="188"/>
      <c r="C143" s="191"/>
      <c r="D143" s="192"/>
      <c r="E143" s="190"/>
      <c r="F143" s="190"/>
      <c r="G143" s="191"/>
      <c r="H143" s="192"/>
      <c r="I143" s="204"/>
      <c r="J143" s="190"/>
      <c r="K143" s="191"/>
      <c r="L143" s="192"/>
      <c r="M143" s="190"/>
      <c r="N143" s="190"/>
      <c r="O143" s="191"/>
      <c r="P143" s="192"/>
      <c r="Q143" s="190"/>
      <c r="R143" s="190"/>
      <c r="S143" s="191"/>
      <c r="T143" s="192"/>
      <c r="U143" s="190"/>
      <c r="V143" s="190"/>
      <c r="W143" s="191"/>
      <c r="X143" s="192"/>
      <c r="Y143" s="190"/>
      <c r="Z143" s="190"/>
      <c r="AA143" s="191"/>
      <c r="AB143" s="192"/>
      <c r="AC143" s="190"/>
      <c r="AD143" s="190"/>
      <c r="AE143" s="191"/>
      <c r="AF143" s="192"/>
      <c r="AG143" s="190"/>
      <c r="AH143" s="190"/>
      <c r="AI143" s="191"/>
      <c r="AJ143" s="192"/>
      <c r="AK143" s="190"/>
      <c r="AL143" s="190"/>
      <c r="AM143" s="191"/>
      <c r="AN143" s="192"/>
      <c r="AO143" s="190"/>
      <c r="AP143" s="190"/>
      <c r="AQ143" s="191"/>
      <c r="AR143" s="192"/>
      <c r="AS143" s="190"/>
      <c r="AT143" s="190"/>
      <c r="AU143" s="191"/>
      <c r="AV143" s="192"/>
      <c r="AW143" s="190"/>
      <c r="AX143" s="190"/>
      <c r="AY143" s="191"/>
      <c r="AZ143" s="192"/>
      <c r="BA143" s="190"/>
      <c r="BB143" s="190"/>
      <c r="BC143" s="191"/>
      <c r="BD143" s="192"/>
      <c r="BE143" s="190"/>
      <c r="BF143" s="190"/>
      <c r="BG143" s="191"/>
      <c r="BH143" s="192"/>
      <c r="BI143" s="190"/>
      <c r="BJ143" s="190"/>
      <c r="BK143" s="191"/>
      <c r="BL143" s="192"/>
      <c r="BM143" s="190"/>
      <c r="BN143" s="190"/>
      <c r="BO143" s="191"/>
      <c r="BP143" s="192"/>
      <c r="BQ143" s="190"/>
      <c r="BR143" s="190"/>
      <c r="BS143" s="191"/>
      <c r="BT143" s="192"/>
      <c r="BU143" s="190"/>
      <c r="BV143" s="190"/>
      <c r="BW143" s="191"/>
      <c r="BX143" s="192"/>
      <c r="BY143" s="190"/>
      <c r="BZ143" s="190"/>
      <c r="CA143" s="191"/>
      <c r="CB143" s="192"/>
      <c r="CC143" s="190"/>
      <c r="CD143" s="190"/>
    </row>
    <row r="144" spans="1:82" s="187" customFormat="1" x14ac:dyDescent="0.2">
      <c r="B144" s="188"/>
      <c r="C144" s="191"/>
      <c r="D144" s="192"/>
      <c r="E144" s="190"/>
      <c r="F144" s="190"/>
      <c r="G144" s="191"/>
      <c r="H144" s="192"/>
      <c r="I144" s="190"/>
      <c r="J144" s="190"/>
      <c r="K144" s="191"/>
      <c r="L144" s="192"/>
      <c r="M144" s="190"/>
      <c r="N144" s="190"/>
      <c r="O144" s="191"/>
      <c r="P144" s="192"/>
      <c r="Q144" s="190"/>
      <c r="R144" s="190"/>
      <c r="S144" s="191"/>
      <c r="T144" s="192"/>
      <c r="U144" s="190"/>
      <c r="V144" s="190"/>
      <c r="W144" s="191"/>
      <c r="X144" s="192"/>
      <c r="Y144" s="190"/>
      <c r="Z144" s="190"/>
      <c r="AA144" s="191"/>
      <c r="AB144" s="192"/>
      <c r="AC144" s="190"/>
      <c r="AD144" s="190"/>
      <c r="AE144" s="191"/>
      <c r="AF144" s="192"/>
      <c r="AG144" s="190"/>
      <c r="AH144" s="190"/>
      <c r="AI144" s="191"/>
      <c r="AJ144" s="192"/>
      <c r="AK144" s="190"/>
      <c r="AL144" s="190"/>
      <c r="AM144" s="191"/>
      <c r="AN144" s="192"/>
      <c r="AO144" s="190"/>
      <c r="AP144" s="190"/>
      <c r="AQ144" s="191"/>
      <c r="AR144" s="192"/>
      <c r="AS144" s="190"/>
      <c r="AT144" s="190"/>
      <c r="AU144" s="191"/>
      <c r="AV144" s="192"/>
      <c r="AW144" s="190"/>
      <c r="AX144" s="190"/>
      <c r="AY144" s="191"/>
      <c r="AZ144" s="192"/>
      <c r="BA144" s="190"/>
      <c r="BB144" s="190"/>
      <c r="BC144" s="191"/>
      <c r="BD144" s="192"/>
      <c r="BE144" s="190"/>
      <c r="BF144" s="190"/>
      <c r="BG144" s="191"/>
      <c r="BH144" s="192"/>
      <c r="BI144" s="190"/>
      <c r="BJ144" s="190"/>
      <c r="BK144" s="191"/>
      <c r="BL144" s="192"/>
      <c r="BM144" s="190"/>
      <c r="BN144" s="190"/>
      <c r="BO144" s="191"/>
      <c r="BP144" s="192"/>
      <c r="BQ144" s="190"/>
      <c r="BR144" s="190"/>
      <c r="BS144" s="191"/>
      <c r="BT144" s="192"/>
      <c r="BU144" s="190"/>
      <c r="BV144" s="190"/>
      <c r="BW144" s="191"/>
      <c r="BX144" s="192"/>
      <c r="BY144" s="190"/>
      <c r="BZ144" s="190"/>
      <c r="CA144" s="191"/>
      <c r="CB144" s="192"/>
      <c r="CC144" s="190"/>
      <c r="CD144" s="190"/>
    </row>
    <row r="145" spans="1:82" x14ac:dyDescent="0.2">
      <c r="A145" s="4" t="s">
        <v>312</v>
      </c>
      <c r="B145" s="116"/>
      <c r="E145" s="111"/>
      <c r="F145" s="111"/>
      <c r="I145" s="111"/>
      <c r="J145" s="111"/>
      <c r="M145" s="111"/>
      <c r="N145" s="111"/>
      <c r="Q145" s="111"/>
      <c r="R145" s="111"/>
      <c r="U145" s="111"/>
      <c r="V145" s="111"/>
      <c r="Y145" s="111"/>
      <c r="Z145" s="111"/>
      <c r="AC145" s="111"/>
      <c r="AD145" s="111"/>
      <c r="AG145" s="111"/>
      <c r="AH145" s="111"/>
      <c r="AK145" s="111"/>
      <c r="AL145" s="111"/>
      <c r="AO145" s="111"/>
      <c r="AP145" s="111"/>
      <c r="AS145" s="111"/>
      <c r="AT145" s="111"/>
      <c r="AW145" s="111"/>
      <c r="AX145" s="111"/>
      <c r="BA145" s="111"/>
      <c r="BB145" s="111"/>
      <c r="BE145" s="111"/>
      <c r="BF145" s="111"/>
      <c r="BI145" s="111"/>
      <c r="BJ145" s="111"/>
      <c r="BM145" s="111"/>
      <c r="BN145" s="111"/>
      <c r="BQ145" s="111"/>
      <c r="BR145" s="111"/>
      <c r="BU145" s="111"/>
      <c r="BV145" s="111"/>
      <c r="BY145" s="111"/>
      <c r="BZ145" s="111"/>
      <c r="CC145" s="111"/>
      <c r="CD145" s="111"/>
    </row>
    <row r="146" spans="1:82" s="194" customFormat="1" x14ac:dyDescent="0.25">
      <c r="B146" s="194" t="s">
        <v>313</v>
      </c>
      <c r="C146" s="195"/>
      <c r="D146" s="196"/>
      <c r="G146" s="195"/>
      <c r="H146" s="196"/>
      <c r="K146" s="195"/>
      <c r="L146" s="196"/>
      <c r="O146" s="195"/>
      <c r="P146" s="196"/>
      <c r="S146" s="195"/>
      <c r="T146" s="196"/>
      <c r="W146" s="195"/>
      <c r="X146" s="196"/>
      <c r="AA146" s="195"/>
      <c r="AB146" s="196"/>
      <c r="AE146" s="195"/>
      <c r="AF146" s="196"/>
      <c r="AI146" s="195"/>
      <c r="AJ146" s="196"/>
      <c r="AM146" s="195"/>
      <c r="AN146" s="196"/>
      <c r="AQ146" s="195"/>
      <c r="AR146" s="196"/>
      <c r="AU146" s="195"/>
      <c r="AV146" s="196"/>
      <c r="AY146" s="195"/>
      <c r="AZ146" s="196"/>
      <c r="BC146" s="195"/>
      <c r="BD146" s="196"/>
      <c r="BG146" s="195"/>
      <c r="BH146" s="196"/>
      <c r="BK146" s="195"/>
      <c r="BL146" s="196"/>
      <c r="BO146" s="195"/>
      <c r="BP146" s="196"/>
      <c r="BS146" s="195"/>
      <c r="BT146" s="196"/>
      <c r="BW146" s="195"/>
      <c r="BX146" s="196"/>
      <c r="CA146" s="195"/>
      <c r="CB146" s="196"/>
    </row>
    <row r="147" spans="1:82" s="194" customFormat="1" x14ac:dyDescent="0.25">
      <c r="B147" s="194" t="s">
        <v>324</v>
      </c>
      <c r="C147" s="195"/>
      <c r="D147" s="196"/>
      <c r="G147" s="195"/>
      <c r="H147" s="196"/>
      <c r="K147" s="195"/>
      <c r="L147" s="196"/>
      <c r="O147" s="195"/>
      <c r="P147" s="196"/>
      <c r="S147" s="195"/>
      <c r="T147" s="196"/>
      <c r="W147" s="195"/>
      <c r="X147" s="196"/>
      <c r="AA147" s="195"/>
      <c r="AB147" s="196"/>
      <c r="AE147" s="195"/>
      <c r="AF147" s="196"/>
      <c r="AI147" s="195"/>
      <c r="AJ147" s="196"/>
      <c r="AM147" s="195"/>
      <c r="AN147" s="196"/>
      <c r="AQ147" s="195"/>
      <c r="AR147" s="196"/>
      <c r="AU147" s="195"/>
      <c r="AV147" s="196"/>
      <c r="AY147" s="195"/>
      <c r="AZ147" s="196"/>
      <c r="BC147" s="195"/>
      <c r="BD147" s="196"/>
      <c r="BG147" s="195"/>
      <c r="BH147" s="196"/>
      <c r="BK147" s="195"/>
      <c r="BL147" s="196"/>
      <c r="BO147" s="195"/>
      <c r="BP147" s="196"/>
      <c r="BS147" s="195"/>
      <c r="BT147" s="196"/>
      <c r="BW147" s="195"/>
      <c r="BX147" s="196"/>
      <c r="CA147" s="195"/>
      <c r="CB147" s="196"/>
    </row>
    <row r="148" spans="1:82" s="194" customFormat="1" x14ac:dyDescent="0.25">
      <c r="B148" s="194" t="s">
        <v>331</v>
      </c>
      <c r="C148" s="195"/>
      <c r="D148" s="196"/>
      <c r="G148" s="195"/>
      <c r="H148" s="196"/>
      <c r="K148" s="195"/>
      <c r="L148" s="196"/>
      <c r="O148" s="195"/>
      <c r="P148" s="196"/>
      <c r="S148" s="195"/>
      <c r="T148" s="196"/>
      <c r="W148" s="195"/>
      <c r="X148" s="196"/>
      <c r="AA148" s="195"/>
      <c r="AB148" s="196"/>
      <c r="AE148" s="195"/>
      <c r="AF148" s="196"/>
      <c r="AI148" s="195"/>
      <c r="AJ148" s="196"/>
      <c r="AM148" s="195"/>
      <c r="AN148" s="196"/>
      <c r="AQ148" s="195"/>
      <c r="AR148" s="196"/>
      <c r="AU148" s="195"/>
      <c r="AV148" s="196"/>
      <c r="AY148" s="195"/>
      <c r="AZ148" s="196"/>
      <c r="BC148" s="195"/>
      <c r="BD148" s="196"/>
      <c r="BG148" s="195"/>
      <c r="BH148" s="196"/>
      <c r="BK148" s="195"/>
      <c r="BL148" s="196"/>
      <c r="BO148" s="195"/>
      <c r="BP148" s="196"/>
      <c r="BS148" s="195"/>
      <c r="BT148" s="196"/>
      <c r="BW148" s="195"/>
      <c r="BX148" s="196"/>
      <c r="CA148" s="195"/>
      <c r="CB148" s="196"/>
    </row>
    <row r="149" spans="1:82" s="194" customFormat="1" x14ac:dyDescent="0.25">
      <c r="C149" s="195"/>
      <c r="D149" s="196"/>
      <c r="G149" s="195"/>
      <c r="H149" s="196"/>
      <c r="K149" s="195"/>
      <c r="L149" s="196"/>
      <c r="O149" s="195"/>
      <c r="P149" s="196"/>
      <c r="S149" s="195"/>
      <c r="T149" s="196"/>
      <c r="W149" s="195"/>
      <c r="X149" s="196"/>
      <c r="AA149" s="195"/>
      <c r="AB149" s="196"/>
      <c r="AE149" s="195"/>
      <c r="AF149" s="196"/>
      <c r="AI149" s="195"/>
      <c r="AJ149" s="196"/>
      <c r="AM149" s="195"/>
      <c r="AN149" s="196"/>
      <c r="AQ149" s="195"/>
      <c r="AR149" s="196"/>
      <c r="AU149" s="195"/>
      <c r="AV149" s="196"/>
      <c r="AY149" s="195"/>
      <c r="AZ149" s="196"/>
      <c r="BC149" s="195"/>
      <c r="BD149" s="196"/>
      <c r="BG149" s="195"/>
      <c r="BH149" s="196"/>
      <c r="BK149" s="195"/>
      <c r="BL149" s="196"/>
      <c r="BO149" s="195"/>
      <c r="BP149" s="196"/>
      <c r="BS149" s="195"/>
      <c r="BT149" s="196"/>
      <c r="BW149" s="195"/>
      <c r="BX149" s="196"/>
      <c r="CA149" s="195"/>
      <c r="CB149" s="196"/>
    </row>
    <row r="150" spans="1:82" s="194" customFormat="1" x14ac:dyDescent="0.25">
      <c r="C150" s="195"/>
      <c r="D150" s="196"/>
      <c r="G150" s="195"/>
      <c r="H150" s="196"/>
      <c r="K150" s="195"/>
      <c r="L150" s="196"/>
      <c r="O150" s="195"/>
      <c r="P150" s="196"/>
      <c r="S150" s="195"/>
      <c r="T150" s="196"/>
      <c r="W150" s="195"/>
      <c r="X150" s="196"/>
      <c r="AA150" s="195"/>
      <c r="AB150" s="196"/>
      <c r="AE150" s="195"/>
      <c r="AF150" s="196"/>
      <c r="AI150" s="195"/>
      <c r="AJ150" s="196"/>
      <c r="AM150" s="195"/>
      <c r="AN150" s="196"/>
      <c r="AQ150" s="195"/>
      <c r="AR150" s="196"/>
      <c r="AU150" s="195"/>
      <c r="AV150" s="196"/>
      <c r="AY150" s="195"/>
      <c r="AZ150" s="196"/>
      <c r="BC150" s="195"/>
      <c r="BD150" s="196"/>
      <c r="BG150" s="195"/>
      <c r="BH150" s="196"/>
      <c r="BK150" s="195"/>
      <c r="BL150" s="196"/>
      <c r="BO150" s="195"/>
      <c r="BP150" s="196"/>
      <c r="BS150" s="195"/>
      <c r="BT150" s="196"/>
      <c r="BW150" s="195"/>
      <c r="BX150" s="196"/>
      <c r="CA150" s="195"/>
      <c r="CB150" s="196"/>
    </row>
    <row r="151" spans="1:82" s="194" customFormat="1" x14ac:dyDescent="0.25">
      <c r="C151" s="195"/>
      <c r="D151" s="196"/>
      <c r="G151" s="195"/>
      <c r="H151" s="196"/>
      <c r="K151" s="195"/>
      <c r="L151" s="196"/>
      <c r="O151" s="195"/>
      <c r="P151" s="196"/>
      <c r="S151" s="195"/>
      <c r="T151" s="196"/>
      <c r="W151" s="195"/>
      <c r="X151" s="196"/>
      <c r="AA151" s="195"/>
      <c r="AB151" s="196"/>
      <c r="AE151" s="195"/>
      <c r="AF151" s="196"/>
      <c r="AI151" s="195"/>
      <c r="AJ151" s="196"/>
      <c r="AM151" s="195"/>
      <c r="AN151" s="196"/>
      <c r="AQ151" s="195"/>
      <c r="AR151" s="196"/>
      <c r="AU151" s="195"/>
      <c r="AV151" s="196"/>
      <c r="AY151" s="195"/>
      <c r="AZ151" s="196"/>
      <c r="BC151" s="195"/>
      <c r="BD151" s="196"/>
      <c r="BG151" s="195"/>
      <c r="BH151" s="196"/>
      <c r="BK151" s="195"/>
      <c r="BL151" s="196"/>
      <c r="BO151" s="195"/>
      <c r="BP151" s="196"/>
      <c r="BS151" s="195"/>
      <c r="BT151" s="196"/>
      <c r="BW151" s="195"/>
      <c r="BX151" s="196"/>
      <c r="CA151" s="195"/>
      <c r="CB151" s="196"/>
    </row>
  </sheetData>
  <pageMargins left="0.75" right="0.75" top="1" bottom="1" header="0.5" footer="0.5"/>
  <pageSetup paperSize="9" orientation="portrait" r:id="rId1"/>
  <headerFooter alignWithMargins="0">
    <oddFooter>&amp;LData preparation NBFI Financial DATA.xls&amp;R&amp;"Arial,Bold"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HY151"/>
  <sheetViews>
    <sheetView zoomScale="75" workbookViewId="0">
      <pane xSplit="2" ySplit="4" topLeftCell="C80" activePane="bottomRight" state="frozen"/>
      <selection activeCell="V39" sqref="V39"/>
      <selection pane="topRight" activeCell="V39" sqref="V39"/>
      <selection pane="bottomLeft" activeCell="V39" sqref="V39"/>
      <selection pane="bottomRight" activeCell="E84" sqref="E84"/>
    </sheetView>
  </sheetViews>
  <sheetFormatPr defaultRowHeight="12.75" customHeight="1" outlineLevelCol="1" x14ac:dyDescent="0.2"/>
  <cols>
    <col min="1" max="1" width="3.85546875" style="13" customWidth="1"/>
    <col min="2" max="2" width="15.7109375" style="6" customWidth="1"/>
    <col min="3" max="3" width="11.140625" style="9" customWidth="1"/>
    <col min="4" max="4" width="11.140625" style="10" customWidth="1" outlineLevel="1"/>
    <col min="5" max="5" width="11" style="6" customWidth="1" outlineLevel="1"/>
    <col min="6" max="6" width="10.5703125" style="6" customWidth="1" outlineLevel="1"/>
    <col min="7" max="7" width="11.140625" style="9" customWidth="1"/>
    <col min="8" max="8" width="11.140625" style="10" customWidth="1" outlineLevel="1"/>
    <col min="9" max="9" width="14" style="6" customWidth="1" outlineLevel="1"/>
    <col min="10" max="10" width="10.5703125" style="6" customWidth="1" outlineLevel="1"/>
    <col min="11" max="11" width="11.140625" style="9" customWidth="1"/>
    <col min="12" max="12" width="11.140625" style="10" customWidth="1" outlineLevel="1"/>
    <col min="13" max="13" width="13.42578125" style="6" customWidth="1" outlineLevel="1"/>
    <col min="14" max="14" width="10.5703125" style="6" customWidth="1" outlineLevel="1"/>
    <col min="15" max="15" width="11.140625" style="9" customWidth="1"/>
    <col min="16" max="16" width="11.140625" style="10" customWidth="1" outlineLevel="1"/>
    <col min="17" max="17" width="10.5703125" style="6" customWidth="1" outlineLevel="1"/>
    <col min="18" max="18" width="12.5703125" style="6" customWidth="1" outlineLevel="1"/>
    <col min="19" max="19" width="10.5703125" style="6" customWidth="1" outlineLevel="1"/>
    <col min="20" max="20" width="11.140625" style="9" customWidth="1"/>
    <col min="21" max="21" width="11.140625" style="10" customWidth="1" outlineLevel="1"/>
    <col min="22" max="22" width="14" style="6" customWidth="1" outlineLevel="1"/>
    <col min="23" max="23" width="10.5703125" style="6" customWidth="1" outlineLevel="1"/>
    <col min="24" max="24" width="11.140625" style="9" customWidth="1"/>
    <col min="25" max="25" width="11.140625" style="10" customWidth="1" outlineLevel="1"/>
    <col min="26" max="26" width="11.42578125" style="6" customWidth="1" outlineLevel="1"/>
    <col min="27" max="27" width="10.5703125" style="6" customWidth="1" outlineLevel="1"/>
    <col min="28" max="28" width="11.140625" style="9" customWidth="1"/>
    <col min="29" max="29" width="11.140625" style="10" customWidth="1" outlineLevel="1"/>
    <col min="30" max="30" width="12.85546875" style="6" customWidth="1" outlineLevel="1"/>
    <col min="31" max="31" width="10.5703125" style="6" customWidth="1" outlineLevel="1"/>
    <col min="32" max="32" width="11.140625" style="9" customWidth="1"/>
    <col min="33" max="33" width="11.140625" style="10" customWidth="1" outlineLevel="1"/>
    <col min="34" max="34" width="11" style="6" customWidth="1" outlineLevel="1"/>
    <col min="35" max="35" width="10.5703125" style="6" customWidth="1" outlineLevel="1"/>
    <col min="36" max="36" width="12.7109375" style="9" customWidth="1"/>
    <col min="37" max="37" width="12.7109375" style="10" customWidth="1" outlineLevel="1"/>
    <col min="38" max="38" width="11.140625" style="6" customWidth="1" outlineLevel="1"/>
    <col min="39" max="39" width="10.5703125" style="6" customWidth="1" outlineLevel="1"/>
    <col min="40" max="40" width="11.140625" style="9" customWidth="1"/>
    <col min="41" max="41" width="11.140625" style="10" customWidth="1" outlineLevel="1"/>
    <col min="42" max="42" width="13.85546875" style="6" customWidth="1" outlineLevel="1"/>
    <col min="43" max="43" width="10.5703125" style="6" customWidth="1" outlineLevel="1"/>
    <col min="44" max="44" width="11.140625" style="9" customWidth="1"/>
    <col min="45" max="45" width="11.140625" style="10" customWidth="1" outlineLevel="1"/>
    <col min="46" max="46" width="9.42578125" style="6" customWidth="1" outlineLevel="1"/>
    <col min="47" max="47" width="10.5703125" style="6" customWidth="1" outlineLevel="1"/>
    <col min="48" max="48" width="11.140625" style="9" customWidth="1"/>
    <col min="49" max="49" width="11.140625" style="10" customWidth="1" outlineLevel="1"/>
    <col min="50" max="50" width="10.42578125" style="6" customWidth="1" outlineLevel="1"/>
    <col min="51" max="51" width="10.5703125" style="6" customWidth="1" outlineLevel="1"/>
    <col min="52" max="52" width="11.140625" style="9" customWidth="1"/>
    <col min="53" max="53" width="11.140625" style="10" customWidth="1" outlineLevel="1"/>
    <col min="54" max="54" width="10" style="6" customWidth="1" outlineLevel="1"/>
    <col min="55" max="55" width="10.5703125" style="6" customWidth="1" outlineLevel="1"/>
    <col min="56" max="56" width="11.140625" style="9" customWidth="1"/>
    <col min="57" max="57" width="11.140625" style="10" customWidth="1" outlineLevel="1"/>
    <col min="58" max="58" width="5.85546875" style="6" customWidth="1" outlineLevel="1"/>
    <col min="59" max="59" width="10.5703125" style="6" customWidth="1" outlineLevel="1"/>
    <col min="60" max="60" width="11.140625" style="9" customWidth="1"/>
    <col min="61" max="61" width="11.140625" style="10" customWidth="1" outlineLevel="1"/>
    <col min="62" max="62" width="9.42578125" style="6" customWidth="1" outlineLevel="1"/>
    <col min="63" max="63" width="10.5703125" style="6" customWidth="1" outlineLevel="1"/>
    <col min="64" max="64" width="11.140625" style="9" customWidth="1"/>
    <col min="65" max="65" width="11.140625" style="10" customWidth="1" outlineLevel="1"/>
    <col min="66" max="66" width="12.85546875" style="6" customWidth="1" outlineLevel="1"/>
    <col min="67" max="67" width="10.5703125" style="6" customWidth="1" outlineLevel="1"/>
    <col min="68" max="68" width="11.140625" style="9" customWidth="1"/>
    <col min="69" max="69" width="11.140625" style="10" customWidth="1" outlineLevel="1"/>
    <col min="70" max="70" width="8.85546875" style="6" customWidth="1" outlineLevel="1"/>
    <col min="71" max="71" width="10.5703125" style="6" customWidth="1" outlineLevel="1"/>
    <col min="72" max="72" width="11.140625" style="9" customWidth="1"/>
    <col min="73" max="73" width="11.140625" style="10" customWidth="1" outlineLevel="1"/>
    <col min="74" max="75" width="10.5703125" style="6" customWidth="1" outlineLevel="1"/>
    <col min="76" max="76" width="11.140625" style="9" customWidth="1"/>
    <col min="77" max="77" width="11.140625" style="10" customWidth="1" outlineLevel="1"/>
    <col min="78" max="78" width="10.85546875" style="6" customWidth="1" outlineLevel="1"/>
    <col min="79" max="79" width="10.5703125" style="6" customWidth="1" outlineLevel="1"/>
    <col min="80" max="80" width="11.140625" style="9" customWidth="1"/>
    <col min="81" max="81" width="11.140625" style="10" customWidth="1" outlineLevel="1"/>
    <col min="82" max="82" width="8.5703125" style="6" customWidth="1" outlineLevel="1"/>
    <col min="83" max="83" width="10.5703125" style="6" customWidth="1" outlineLevel="1"/>
    <col min="84" max="84" width="11.140625" style="9" customWidth="1"/>
    <col min="85" max="85" width="11.140625" style="10" customWidth="1" outlineLevel="1"/>
    <col min="86" max="86" width="11" style="6" customWidth="1" outlineLevel="1"/>
    <col min="87" max="87" width="10.5703125" style="6" customWidth="1" outlineLevel="1"/>
    <col min="88" max="88" width="11.140625" style="9" customWidth="1"/>
    <col min="89" max="89" width="11.140625" style="10" customWidth="1" outlineLevel="1"/>
    <col min="90" max="90" width="8.28515625" style="6" customWidth="1" outlineLevel="1"/>
    <col min="91" max="91" width="10.5703125" style="6" customWidth="1" outlineLevel="1"/>
    <col min="92" max="92" width="11.140625" style="9" customWidth="1"/>
    <col min="93" max="93" width="11.140625" style="10" customWidth="1" outlineLevel="1"/>
    <col min="94" max="94" width="10.28515625" style="6" customWidth="1" outlineLevel="1"/>
    <col min="95" max="95" width="10.5703125" style="6" customWidth="1" outlineLevel="1"/>
    <col min="96" max="96" width="11.140625" style="9" customWidth="1"/>
    <col min="97" max="97" width="11.140625" style="10" customWidth="1" outlineLevel="1"/>
    <col min="98" max="98" width="14.42578125" style="6" customWidth="1" outlineLevel="1"/>
    <col min="99" max="99" width="10.5703125" style="6" customWidth="1" outlineLevel="1"/>
    <col min="100" max="100" width="11.140625" style="9" customWidth="1"/>
    <col min="101" max="101" width="11.140625" style="10" customWidth="1" outlineLevel="1"/>
    <col min="102" max="102" width="11" style="6" customWidth="1" outlineLevel="1"/>
    <col min="103" max="103" width="13.85546875" style="6" customWidth="1" outlineLevel="1"/>
    <col min="104" max="104" width="11.140625" style="9" customWidth="1"/>
    <col min="105" max="105" width="11.140625" style="10" customWidth="1" outlineLevel="1"/>
    <col min="106" max="106" width="8.5703125" style="6" customWidth="1" outlineLevel="1"/>
    <col min="107" max="107" width="10.5703125" style="6" customWidth="1" outlineLevel="1"/>
    <col min="108" max="108" width="11.140625" style="9" customWidth="1"/>
    <col min="109" max="109" width="11.140625" style="10" customWidth="1" outlineLevel="1"/>
    <col min="110" max="110" width="8.5703125" style="6" customWidth="1" outlineLevel="1"/>
    <col min="111" max="111" width="10.5703125" style="6" customWidth="1" outlineLevel="1"/>
    <col min="112" max="112" width="11.140625" style="9" customWidth="1"/>
    <col min="113" max="113" width="11.140625" style="10" customWidth="1" outlineLevel="1"/>
    <col min="114" max="114" width="11" style="6" customWidth="1" outlineLevel="1"/>
    <col min="115" max="115" width="11.7109375" style="6" customWidth="1" outlineLevel="1"/>
    <col min="116" max="116" width="11" style="6" customWidth="1" outlineLevel="1"/>
    <col min="117" max="117" width="8.5703125" style="6" customWidth="1" outlineLevel="1"/>
    <col min="118" max="118" width="10.5703125" style="6" customWidth="1" outlineLevel="1"/>
    <col min="119" max="119" width="11.140625" style="9" customWidth="1"/>
    <col min="120" max="120" width="11.140625" style="10" customWidth="1" outlineLevel="1"/>
    <col min="121" max="121" width="11.42578125" style="6" customWidth="1" outlineLevel="1"/>
    <col min="122" max="122" width="10.5703125" style="6" customWidth="1" outlineLevel="1"/>
    <col min="123" max="123" width="11.140625" style="9" customWidth="1"/>
    <col min="124" max="124" width="11.140625" style="10" customWidth="1" outlineLevel="1"/>
    <col min="125" max="125" width="10.85546875" style="6" customWidth="1" outlineLevel="1"/>
    <col min="126" max="126" width="10.5703125" style="6" customWidth="1" outlineLevel="1"/>
    <col min="127" max="128" width="11.140625" style="2" customWidth="1"/>
    <col min="129" max="129" width="10.5703125" style="2" customWidth="1"/>
    <col min="130" max="130" width="11.140625" style="2" customWidth="1"/>
    <col min="131" max="131" width="10" style="2" customWidth="1"/>
    <col min="132" max="132" width="10.5703125" style="2" customWidth="1"/>
    <col min="133" max="133" width="11.140625" style="2" customWidth="1"/>
    <col min="134" max="134" width="8.5703125" style="2" customWidth="1"/>
    <col min="135" max="135" width="10.5703125" style="2" customWidth="1"/>
    <col min="136" max="136" width="11.140625" style="2" customWidth="1"/>
    <col min="137" max="137" width="10.7109375" style="2" customWidth="1"/>
    <col min="138" max="138" width="10.5703125" style="2" customWidth="1"/>
    <col min="139" max="139" width="11.140625" style="2" customWidth="1"/>
    <col min="140" max="141" width="11" style="2" customWidth="1"/>
    <col min="142" max="142" width="7.7109375" style="2" customWidth="1"/>
    <col min="143" max="143" width="10.85546875" style="2" customWidth="1"/>
    <col min="144" max="144" width="11.140625" style="2" customWidth="1"/>
    <col min="145" max="145" width="10.7109375" style="2" customWidth="1"/>
    <col min="146" max="146" width="10.5703125" style="2" customWidth="1"/>
    <col min="147" max="147" width="11.140625" style="2" customWidth="1"/>
    <col min="148" max="148" width="8.85546875" style="2" customWidth="1"/>
    <col min="149" max="149" width="10.5703125" style="2" customWidth="1"/>
    <col min="150" max="150" width="11.140625" style="2" customWidth="1"/>
    <col min="151" max="151" width="13.140625" style="2" customWidth="1"/>
    <col min="152" max="152" width="10.5703125" style="2" customWidth="1"/>
    <col min="153" max="153" width="11.140625" style="2" customWidth="1"/>
    <col min="154" max="154" width="8.28515625" style="2" customWidth="1"/>
    <col min="155" max="155" width="10.5703125" style="2" customWidth="1"/>
    <col min="156" max="156" width="11.140625" style="2" customWidth="1"/>
    <col min="157" max="157" width="11.42578125" style="2" customWidth="1"/>
    <col min="158" max="158" width="10.5703125" style="2" customWidth="1"/>
    <col min="159" max="16384" width="9.140625" style="2"/>
  </cols>
  <sheetData>
    <row r="1" spans="1:233" ht="12.75" customHeight="1" x14ac:dyDescent="0.2">
      <c r="A1" s="4" t="s">
        <v>381</v>
      </c>
      <c r="M1" s="11"/>
      <c r="Q1" s="11" t="s">
        <v>79</v>
      </c>
      <c r="R1" s="11" t="s">
        <v>79</v>
      </c>
    </row>
    <row r="2" spans="1:233" ht="51.75" customHeight="1" x14ac:dyDescent="0.2">
      <c r="A2" s="14"/>
      <c r="B2" s="15" t="s">
        <v>80</v>
      </c>
      <c r="C2" s="19" t="s">
        <v>53</v>
      </c>
      <c r="D2" s="18" t="s">
        <v>53</v>
      </c>
      <c r="E2" s="18" t="s">
        <v>53</v>
      </c>
      <c r="F2" s="18" t="s">
        <v>53</v>
      </c>
      <c r="G2" s="16" t="s">
        <v>382</v>
      </c>
      <c r="H2" s="18" t="s">
        <v>382</v>
      </c>
      <c r="I2" s="18" t="s">
        <v>382</v>
      </c>
      <c r="J2" s="18" t="s">
        <v>382</v>
      </c>
      <c r="K2" s="16" t="s">
        <v>383</v>
      </c>
      <c r="L2" s="18" t="s">
        <v>383</v>
      </c>
      <c r="M2" s="18" t="s">
        <v>383</v>
      </c>
      <c r="N2" s="18" t="s">
        <v>383</v>
      </c>
      <c r="O2" s="19" t="s">
        <v>54</v>
      </c>
      <c r="P2" s="18" t="s">
        <v>54</v>
      </c>
      <c r="Q2" s="18" t="s">
        <v>54</v>
      </c>
      <c r="R2" s="18" t="s">
        <v>54</v>
      </c>
      <c r="S2" s="18" t="s">
        <v>54</v>
      </c>
      <c r="T2" s="16" t="s">
        <v>55</v>
      </c>
      <c r="U2" s="18" t="s">
        <v>55</v>
      </c>
      <c r="V2" s="18" t="s">
        <v>55</v>
      </c>
      <c r="W2" s="18" t="s">
        <v>55</v>
      </c>
      <c r="X2" s="16" t="s">
        <v>56</v>
      </c>
      <c r="Y2" s="18" t="s">
        <v>56</v>
      </c>
      <c r="Z2" s="18" t="s">
        <v>56</v>
      </c>
      <c r="AA2" s="18" t="s">
        <v>56</v>
      </c>
      <c r="AB2" s="16" t="s">
        <v>57</v>
      </c>
      <c r="AC2" s="18" t="s">
        <v>57</v>
      </c>
      <c r="AD2" s="18" t="s">
        <v>57</v>
      </c>
      <c r="AE2" s="18" t="s">
        <v>57</v>
      </c>
      <c r="AF2" s="19" t="s">
        <v>384</v>
      </c>
      <c r="AG2" s="18" t="s">
        <v>384</v>
      </c>
      <c r="AH2" s="18" t="s">
        <v>384</v>
      </c>
      <c r="AI2" s="18" t="s">
        <v>384</v>
      </c>
      <c r="AJ2" s="19" t="s">
        <v>385</v>
      </c>
      <c r="AK2" s="18" t="s">
        <v>385</v>
      </c>
      <c r="AL2" s="18" t="s">
        <v>385</v>
      </c>
      <c r="AM2" s="18" t="s">
        <v>385</v>
      </c>
      <c r="AN2" s="16" t="s">
        <v>386</v>
      </c>
      <c r="AO2" s="18" t="s">
        <v>386</v>
      </c>
      <c r="AP2" s="18" t="s">
        <v>386</v>
      </c>
      <c r="AQ2" s="18" t="s">
        <v>386</v>
      </c>
      <c r="AR2" s="16" t="s">
        <v>387</v>
      </c>
      <c r="AS2" s="18" t="s">
        <v>387</v>
      </c>
      <c r="AT2" s="18" t="s">
        <v>387</v>
      </c>
      <c r="AU2" s="18" t="s">
        <v>387</v>
      </c>
      <c r="AV2" s="16" t="s">
        <v>77</v>
      </c>
      <c r="AW2" s="18" t="s">
        <v>77</v>
      </c>
      <c r="AX2" s="18" t="s">
        <v>77</v>
      </c>
      <c r="AY2" s="18" t="s">
        <v>77</v>
      </c>
      <c r="AZ2" s="19" t="s">
        <v>59</v>
      </c>
      <c r="BA2" s="18" t="s">
        <v>59</v>
      </c>
      <c r="BB2" s="18" t="s">
        <v>59</v>
      </c>
      <c r="BC2" s="18" t="s">
        <v>59</v>
      </c>
      <c r="BD2" s="16" t="s">
        <v>388</v>
      </c>
      <c r="BE2" s="18" t="s">
        <v>388</v>
      </c>
      <c r="BF2" s="18" t="s">
        <v>388</v>
      </c>
      <c r="BG2" s="18" t="s">
        <v>388</v>
      </c>
      <c r="BH2" s="16" t="s">
        <v>389</v>
      </c>
      <c r="BI2" s="18" t="s">
        <v>390</v>
      </c>
      <c r="BJ2" s="18" t="s">
        <v>390</v>
      </c>
      <c r="BK2" s="18" t="s">
        <v>390</v>
      </c>
      <c r="BL2" s="16" t="s">
        <v>61</v>
      </c>
      <c r="BM2" s="18" t="s">
        <v>61</v>
      </c>
      <c r="BN2" s="18" t="s">
        <v>61</v>
      </c>
      <c r="BO2" s="18" t="s">
        <v>61</v>
      </c>
      <c r="BP2" s="16" t="s">
        <v>391</v>
      </c>
      <c r="BQ2" s="18" t="s">
        <v>391</v>
      </c>
      <c r="BR2" s="18" t="s">
        <v>391</v>
      </c>
      <c r="BS2" s="18" t="s">
        <v>391</v>
      </c>
      <c r="BT2" s="16" t="s">
        <v>392</v>
      </c>
      <c r="BU2" s="18" t="s">
        <v>393</v>
      </c>
      <c r="BV2" s="18" t="s">
        <v>393</v>
      </c>
      <c r="BW2" s="18" t="s">
        <v>393</v>
      </c>
      <c r="BX2" s="16" t="s">
        <v>394</v>
      </c>
      <c r="BY2" s="18" t="s">
        <v>394</v>
      </c>
      <c r="BZ2" s="18" t="s">
        <v>394</v>
      </c>
      <c r="CA2" s="18" t="s">
        <v>394</v>
      </c>
      <c r="CB2" s="16" t="s">
        <v>63</v>
      </c>
      <c r="CC2" s="18" t="s">
        <v>63</v>
      </c>
      <c r="CD2" s="18" t="s">
        <v>63</v>
      </c>
      <c r="CE2" s="18" t="s">
        <v>63</v>
      </c>
      <c r="CF2" s="19" t="s">
        <v>395</v>
      </c>
      <c r="CG2" s="18" t="s">
        <v>395</v>
      </c>
      <c r="CH2" s="18" t="s">
        <v>395</v>
      </c>
      <c r="CI2" s="18" t="s">
        <v>395</v>
      </c>
      <c r="CJ2" s="16" t="s">
        <v>75</v>
      </c>
      <c r="CK2" s="18" t="s">
        <v>75</v>
      </c>
      <c r="CL2" s="18" t="s">
        <v>75</v>
      </c>
      <c r="CM2" s="18" t="s">
        <v>75</v>
      </c>
      <c r="CN2" s="16" t="s">
        <v>62</v>
      </c>
      <c r="CO2" s="18" t="s">
        <v>62</v>
      </c>
      <c r="CP2" s="18" t="s">
        <v>62</v>
      </c>
      <c r="CQ2" s="18" t="s">
        <v>62</v>
      </c>
      <c r="CR2" s="16" t="s">
        <v>64</v>
      </c>
      <c r="CS2" s="18" t="s">
        <v>64</v>
      </c>
      <c r="CT2" s="18" t="s">
        <v>64</v>
      </c>
      <c r="CU2" s="18" t="s">
        <v>64</v>
      </c>
      <c r="CV2" s="16" t="s">
        <v>60</v>
      </c>
      <c r="CW2" s="18" t="s">
        <v>60</v>
      </c>
      <c r="CX2" s="18" t="s">
        <v>60</v>
      </c>
      <c r="CY2" s="18" t="s">
        <v>60</v>
      </c>
      <c r="CZ2" s="19" t="s">
        <v>396</v>
      </c>
      <c r="DA2" s="18" t="s">
        <v>396</v>
      </c>
      <c r="DB2" s="18" t="s">
        <v>396</v>
      </c>
      <c r="DC2" s="18" t="s">
        <v>396</v>
      </c>
      <c r="DD2" s="16" t="s">
        <v>65</v>
      </c>
      <c r="DE2" s="18" t="s">
        <v>65</v>
      </c>
      <c r="DF2" s="18" t="s">
        <v>65</v>
      </c>
      <c r="DG2" s="18" t="s">
        <v>65</v>
      </c>
      <c r="DH2" s="16" t="s">
        <v>397</v>
      </c>
      <c r="DI2" s="18" t="s">
        <v>397</v>
      </c>
      <c r="DJ2" s="18" t="s">
        <v>397</v>
      </c>
      <c r="DK2" s="18" t="s">
        <v>397</v>
      </c>
      <c r="DL2" s="18" t="s">
        <v>397</v>
      </c>
      <c r="DM2" s="18" t="s">
        <v>397</v>
      </c>
      <c r="DN2" s="18" t="s">
        <v>397</v>
      </c>
      <c r="DO2" s="16" t="s">
        <v>398</v>
      </c>
      <c r="DP2" s="18" t="s">
        <v>398</v>
      </c>
      <c r="DQ2" s="18" t="s">
        <v>398</v>
      </c>
      <c r="DR2" s="18" t="s">
        <v>398</v>
      </c>
      <c r="DS2" s="16" t="s">
        <v>399</v>
      </c>
      <c r="DT2" s="18" t="s">
        <v>399</v>
      </c>
      <c r="DU2" s="18" t="s">
        <v>399</v>
      </c>
      <c r="DV2" s="18" t="s">
        <v>399</v>
      </c>
    </row>
    <row r="3" spans="1:233" ht="12.75" customHeight="1" x14ac:dyDescent="0.2">
      <c r="A3" s="13" t="s">
        <v>101</v>
      </c>
      <c r="E3" s="20">
        <v>2004</v>
      </c>
      <c r="F3" s="20">
        <v>2003</v>
      </c>
      <c r="I3" s="20">
        <v>2003</v>
      </c>
      <c r="J3" s="20">
        <v>2002</v>
      </c>
      <c r="M3" s="20">
        <v>2004</v>
      </c>
      <c r="N3" s="20">
        <v>2003</v>
      </c>
      <c r="Q3" s="20">
        <v>2004</v>
      </c>
      <c r="R3" s="20">
        <v>2003</v>
      </c>
      <c r="S3" s="20">
        <v>2002</v>
      </c>
      <c r="V3" s="20">
        <v>2004</v>
      </c>
      <c r="W3" s="20">
        <v>2003</v>
      </c>
      <c r="Z3" s="20">
        <v>2004</v>
      </c>
      <c r="AA3" s="20">
        <v>2003</v>
      </c>
      <c r="AD3" s="20">
        <v>2004</v>
      </c>
      <c r="AE3" s="20">
        <v>2003</v>
      </c>
      <c r="AH3" s="20">
        <v>2003</v>
      </c>
      <c r="AI3" s="20">
        <v>2002</v>
      </c>
      <c r="AL3" s="20">
        <v>2004</v>
      </c>
      <c r="AM3" s="20">
        <v>2003</v>
      </c>
      <c r="AP3" s="20">
        <v>2004</v>
      </c>
      <c r="AQ3" s="20">
        <v>2003</v>
      </c>
      <c r="AT3" s="20">
        <v>2004</v>
      </c>
      <c r="AU3" s="20">
        <v>2003</v>
      </c>
      <c r="AX3" s="20">
        <v>2004</v>
      </c>
      <c r="AY3" s="20">
        <v>2003</v>
      </c>
      <c r="BB3" s="20">
        <v>2004</v>
      </c>
      <c r="BC3" s="20">
        <v>2003</v>
      </c>
      <c r="BF3" s="20"/>
      <c r="BG3" s="20"/>
      <c r="BJ3" s="20">
        <v>2004</v>
      </c>
      <c r="BK3" s="20">
        <v>2003</v>
      </c>
      <c r="BN3" s="20">
        <v>2004</v>
      </c>
      <c r="BO3" s="20">
        <v>2003</v>
      </c>
      <c r="BR3" s="20">
        <v>2004</v>
      </c>
      <c r="BS3" s="20">
        <v>2003</v>
      </c>
      <c r="BV3" s="20">
        <v>2004</v>
      </c>
      <c r="BW3" s="20">
        <v>2003</v>
      </c>
      <c r="BZ3" s="20">
        <v>2004</v>
      </c>
      <c r="CA3" s="20">
        <v>2003</v>
      </c>
      <c r="CD3" s="20">
        <v>2004</v>
      </c>
      <c r="CE3" s="20">
        <v>2003</v>
      </c>
      <c r="CH3" s="20"/>
      <c r="CI3" s="20"/>
      <c r="CL3" s="20">
        <v>2004</v>
      </c>
      <c r="CM3" s="20">
        <v>2003</v>
      </c>
      <c r="CP3" s="20">
        <v>2004</v>
      </c>
      <c r="CQ3" s="20">
        <v>2003</v>
      </c>
      <c r="CT3" s="20">
        <v>2004</v>
      </c>
      <c r="CU3" s="20">
        <v>2003</v>
      </c>
      <c r="CX3" s="20">
        <v>2004</v>
      </c>
      <c r="CY3" s="20">
        <v>2003</v>
      </c>
      <c r="DB3" s="20"/>
      <c r="DC3" s="20"/>
      <c r="DF3" s="20">
        <v>2004</v>
      </c>
      <c r="DG3" s="20">
        <v>2003</v>
      </c>
      <c r="DJ3" s="20">
        <v>2004</v>
      </c>
      <c r="DK3" s="20">
        <v>2003</v>
      </c>
      <c r="DL3" s="20">
        <v>2002</v>
      </c>
      <c r="DM3" s="20">
        <v>2001</v>
      </c>
      <c r="DN3" s="20">
        <v>2000</v>
      </c>
      <c r="DQ3" s="20">
        <v>2004</v>
      </c>
      <c r="DR3" s="20">
        <v>2003</v>
      </c>
      <c r="DU3" s="20">
        <v>2004</v>
      </c>
      <c r="DV3" s="20">
        <v>2003</v>
      </c>
    </row>
    <row r="4" spans="1:233" ht="12.75" customHeight="1" x14ac:dyDescent="0.2">
      <c r="A4" s="13" t="s">
        <v>102</v>
      </c>
      <c r="E4" s="20" t="s">
        <v>108</v>
      </c>
      <c r="F4" s="20" t="s">
        <v>400</v>
      </c>
      <c r="I4" s="20" t="s">
        <v>109</v>
      </c>
      <c r="J4" s="20" t="s">
        <v>109</v>
      </c>
      <c r="M4" s="20" t="s">
        <v>108</v>
      </c>
      <c r="N4" s="20" t="s">
        <v>108</v>
      </c>
      <c r="Q4" s="20" t="s">
        <v>108</v>
      </c>
      <c r="R4" s="20" t="s">
        <v>108</v>
      </c>
      <c r="S4" s="20" t="s">
        <v>115</v>
      </c>
      <c r="V4" s="20" t="s">
        <v>108</v>
      </c>
      <c r="W4" s="20" t="s">
        <v>108</v>
      </c>
      <c r="Z4" s="20" t="s">
        <v>105</v>
      </c>
      <c r="AA4" s="20" t="s">
        <v>105</v>
      </c>
      <c r="AD4" s="20" t="s">
        <v>108</v>
      </c>
      <c r="AE4" s="20" t="s">
        <v>108</v>
      </c>
      <c r="AH4" s="20" t="s">
        <v>113</v>
      </c>
      <c r="AI4" s="20" t="s">
        <v>113</v>
      </c>
      <c r="AL4" s="20" t="s">
        <v>108</v>
      </c>
      <c r="AM4" s="20" t="s">
        <v>108</v>
      </c>
      <c r="AP4" s="20" t="s">
        <v>108</v>
      </c>
      <c r="AQ4" s="20" t="s">
        <v>108</v>
      </c>
      <c r="AT4" s="20" t="s">
        <v>108</v>
      </c>
      <c r="AU4" s="20" t="s">
        <v>108</v>
      </c>
      <c r="AX4" s="20" t="s">
        <v>108</v>
      </c>
      <c r="AY4" s="20" t="s">
        <v>108</v>
      </c>
      <c r="BB4" s="20" t="s">
        <v>108</v>
      </c>
      <c r="BC4" s="20" t="s">
        <v>108</v>
      </c>
      <c r="BF4" s="20"/>
      <c r="BG4" s="20"/>
      <c r="BJ4" s="20" t="s">
        <v>105</v>
      </c>
      <c r="BK4" s="20" t="s">
        <v>105</v>
      </c>
      <c r="BN4" s="20" t="s">
        <v>108</v>
      </c>
      <c r="BO4" s="20" t="s">
        <v>108</v>
      </c>
      <c r="BR4" s="20" t="s">
        <v>114</v>
      </c>
      <c r="BS4" s="20" t="s">
        <v>114</v>
      </c>
      <c r="BV4" s="20" t="s">
        <v>109</v>
      </c>
      <c r="BW4" s="20" t="s">
        <v>109</v>
      </c>
      <c r="BZ4" s="20" t="s">
        <v>105</v>
      </c>
      <c r="CA4" s="20" t="s">
        <v>105</v>
      </c>
      <c r="CD4" s="20" t="s">
        <v>105</v>
      </c>
      <c r="CE4" s="20" t="s">
        <v>105</v>
      </c>
      <c r="CH4" s="20"/>
      <c r="CI4" s="20"/>
      <c r="CL4" s="20" t="s">
        <v>108</v>
      </c>
      <c r="CM4" s="20" t="s">
        <v>108</v>
      </c>
      <c r="CP4" s="20" t="s">
        <v>105</v>
      </c>
      <c r="CQ4" s="20" t="s">
        <v>105</v>
      </c>
      <c r="CT4" s="20" t="s">
        <v>108</v>
      </c>
      <c r="CU4" s="20" t="s">
        <v>108</v>
      </c>
      <c r="CX4" s="20" t="s">
        <v>108</v>
      </c>
      <c r="CY4" s="20" t="s">
        <v>108</v>
      </c>
      <c r="DB4" s="20"/>
      <c r="DC4" s="20"/>
      <c r="DF4" s="20" t="s">
        <v>105</v>
      </c>
      <c r="DG4" s="20" t="s">
        <v>105</v>
      </c>
      <c r="DJ4" s="20" t="s">
        <v>105</v>
      </c>
      <c r="DK4" s="20" t="s">
        <v>105</v>
      </c>
      <c r="DL4" s="20" t="s">
        <v>105</v>
      </c>
      <c r="DM4" s="20" t="s">
        <v>113</v>
      </c>
      <c r="DN4" s="20" t="s">
        <v>113</v>
      </c>
      <c r="DQ4" s="20" t="s">
        <v>108</v>
      </c>
      <c r="DR4" s="20" t="s">
        <v>108</v>
      </c>
      <c r="DU4" s="20" t="s">
        <v>108</v>
      </c>
      <c r="DV4" s="20" t="s">
        <v>108</v>
      </c>
    </row>
    <row r="5" spans="1:233" s="27" customFormat="1" ht="12.75" customHeight="1" x14ac:dyDescent="0.2">
      <c r="A5" s="23" t="s">
        <v>116</v>
      </c>
      <c r="B5" s="24"/>
      <c r="C5" s="23"/>
      <c r="D5" s="25" t="str">
        <f t="shared" ref="D5:BO5" si="0">D2&amp;D3</f>
        <v>Orange Finance Ltd</v>
      </c>
      <c r="E5" s="25" t="str">
        <f t="shared" si="0"/>
        <v>Orange Finance Ltd2004</v>
      </c>
      <c r="F5" s="25" t="str">
        <f t="shared" si="0"/>
        <v>Orange Finance Ltd2003</v>
      </c>
      <c r="G5" s="25" t="str">
        <f t="shared" si="0"/>
        <v>Origin Energy Contact Finance Ltd</v>
      </c>
      <c r="H5" s="25" t="str">
        <f t="shared" si="0"/>
        <v>Origin Energy Contact Finance Ltd</v>
      </c>
      <c r="I5" s="25" t="str">
        <f t="shared" si="0"/>
        <v>Origin Energy Contact Finance Ltd2003</v>
      </c>
      <c r="J5" s="25" t="str">
        <f t="shared" si="0"/>
        <v>Origin Energy Contact Finance Ltd2002</v>
      </c>
      <c r="K5" s="25" t="str">
        <f t="shared" si="0"/>
        <v>ORIX New Zealand Ltd</v>
      </c>
      <c r="L5" s="25" t="str">
        <f t="shared" si="0"/>
        <v>ORIX New Zealand Ltd</v>
      </c>
      <c r="M5" s="25" t="str">
        <f t="shared" si="0"/>
        <v>ORIX New Zealand Ltd2004</v>
      </c>
      <c r="N5" s="25" t="str">
        <f t="shared" si="0"/>
        <v>ORIX New Zealand Ltd2003</v>
      </c>
      <c r="O5" s="25" t="str">
        <f t="shared" si="0"/>
        <v>Oxford Finance Corporation</v>
      </c>
      <c r="P5" s="25" t="str">
        <f t="shared" si="0"/>
        <v>Oxford Finance Corporation</v>
      </c>
      <c r="Q5" s="25" t="str">
        <f t="shared" si="0"/>
        <v>Oxford Finance Corporation2004</v>
      </c>
      <c r="R5" s="25" t="str">
        <f t="shared" si="0"/>
        <v>Oxford Finance Corporation2003</v>
      </c>
      <c r="S5" s="25" t="str">
        <f t="shared" si="0"/>
        <v>Oxford Finance Corporation2002</v>
      </c>
      <c r="T5" s="25" t="str">
        <f t="shared" si="0"/>
        <v>Pacific Retail Finance Ltd</v>
      </c>
      <c r="U5" s="25" t="str">
        <f t="shared" si="0"/>
        <v>Pacific Retail Finance Ltd</v>
      </c>
      <c r="V5" s="25" t="str">
        <f t="shared" si="0"/>
        <v>Pacific Retail Finance Ltd2004</v>
      </c>
      <c r="W5" s="25" t="str">
        <f t="shared" si="0"/>
        <v>Pacific Retail Finance Ltd2003</v>
      </c>
      <c r="X5" s="25" t="str">
        <f t="shared" si="0"/>
        <v>PGG Finance Ltd</v>
      </c>
      <c r="Y5" s="25" t="str">
        <f t="shared" si="0"/>
        <v>PGG Finance Ltd</v>
      </c>
      <c r="Z5" s="25" t="str">
        <f t="shared" si="0"/>
        <v>PGG Finance Ltd2004</v>
      </c>
      <c r="AA5" s="25" t="str">
        <f t="shared" si="0"/>
        <v>PGG Finance Ltd2003</v>
      </c>
      <c r="AB5" s="25" t="str">
        <f t="shared" si="0"/>
        <v>Prime Finance Ltd</v>
      </c>
      <c r="AC5" s="25" t="str">
        <f t="shared" si="0"/>
        <v>Prime Finance Ltd</v>
      </c>
      <c r="AD5" s="25" t="str">
        <f t="shared" si="0"/>
        <v>Prime Finance Ltd2004</v>
      </c>
      <c r="AE5" s="25" t="str">
        <f t="shared" si="0"/>
        <v>Prime Finance Ltd2003</v>
      </c>
      <c r="AF5" s="25" t="str">
        <f t="shared" si="0"/>
        <v>Primus Financial Service Ltd</v>
      </c>
      <c r="AG5" s="25" t="str">
        <f t="shared" si="0"/>
        <v>Primus Financial Service Ltd</v>
      </c>
      <c r="AH5" s="25" t="str">
        <f t="shared" si="0"/>
        <v>Primus Financial Service Ltd2003</v>
      </c>
      <c r="AI5" s="25" t="str">
        <f t="shared" si="0"/>
        <v>Primus Financial Service Ltd2002</v>
      </c>
      <c r="AJ5" s="25" t="str">
        <f t="shared" si="0"/>
        <v>Prometheus Finance Ltd</v>
      </c>
      <c r="AK5" s="25" t="str">
        <f t="shared" si="0"/>
        <v>Prometheus Finance Ltd</v>
      </c>
      <c r="AL5" s="25" t="str">
        <f t="shared" si="0"/>
        <v>Prometheus Finance Ltd2004</v>
      </c>
      <c r="AM5" s="25" t="str">
        <f t="shared" si="0"/>
        <v>Prometheus Finance Ltd2003</v>
      </c>
      <c r="AN5" s="25" t="str">
        <f t="shared" si="0"/>
        <v>PropertyFinance securities Ltd</v>
      </c>
      <c r="AO5" s="25" t="str">
        <f t="shared" si="0"/>
        <v>PropertyFinance securities Ltd</v>
      </c>
      <c r="AP5" s="25" t="str">
        <f t="shared" si="0"/>
        <v>PropertyFinance securities Ltd2004</v>
      </c>
      <c r="AQ5" s="25" t="str">
        <f t="shared" si="0"/>
        <v>PropertyFinance securities Ltd2003</v>
      </c>
      <c r="AR5" s="25" t="str">
        <f t="shared" si="0"/>
        <v>Provincial Finance Ltd</v>
      </c>
      <c r="AS5" s="25" t="str">
        <f t="shared" si="0"/>
        <v>Provincial Finance Ltd</v>
      </c>
      <c r="AT5" s="25" t="str">
        <f t="shared" si="0"/>
        <v>Provincial Finance Ltd2004</v>
      </c>
      <c r="AU5" s="25" t="str">
        <f t="shared" si="0"/>
        <v>Provincial Finance Ltd2003</v>
      </c>
      <c r="AV5" s="25" t="str">
        <f t="shared" si="0"/>
        <v>PSIS Ltd</v>
      </c>
      <c r="AW5" s="25" t="str">
        <f>AW2&amp;AW3</f>
        <v>PSIS Ltd</v>
      </c>
      <c r="AX5" s="25" t="str">
        <f>AX2&amp;AX3</f>
        <v>PSIS Ltd2004</v>
      </c>
      <c r="AY5" s="25" t="str">
        <f t="shared" si="0"/>
        <v>PSIS Ltd2003</v>
      </c>
      <c r="AZ5" s="25" t="str">
        <f t="shared" si="0"/>
        <v>Rockforte Finance Ltd</v>
      </c>
      <c r="BA5" s="25" t="str">
        <f t="shared" si="0"/>
        <v>Rockforte Finance Ltd</v>
      </c>
      <c r="BB5" s="25" t="str">
        <f t="shared" si="0"/>
        <v>Rockforte Finance Ltd2004</v>
      </c>
      <c r="BC5" s="25" t="str">
        <f t="shared" si="0"/>
        <v>Rockforte Finance Ltd2003</v>
      </c>
      <c r="BD5" s="25" t="str">
        <f t="shared" si="0"/>
        <v>Rural Portfolio Investment Ltd</v>
      </c>
      <c r="BE5" s="25" t="str">
        <f t="shared" si="0"/>
        <v>Rural Portfolio Investment Ltd</v>
      </c>
      <c r="BF5" s="25" t="str">
        <f t="shared" si="0"/>
        <v>Rural Portfolio Investment Ltd</v>
      </c>
      <c r="BG5" s="25" t="str">
        <f t="shared" si="0"/>
        <v>Rural Portfolio Investment Ltd</v>
      </c>
      <c r="BH5" s="25" t="str">
        <f t="shared" si="0"/>
        <v>Sapphire Securities  Ltd</v>
      </c>
      <c r="BI5" s="25" t="str">
        <f t="shared" si="0"/>
        <v>Sapphire Securities Ltd</v>
      </c>
      <c r="BJ5" s="25" t="str">
        <f t="shared" si="0"/>
        <v>Sapphire Securities Ltd2004</v>
      </c>
      <c r="BK5" s="25" t="str">
        <f t="shared" si="0"/>
        <v>Sapphire Securities Ltd2003</v>
      </c>
      <c r="BL5" s="25" t="str">
        <f t="shared" si="0"/>
        <v>Saving and Loans Ltd</v>
      </c>
      <c r="BM5" s="25" t="str">
        <f t="shared" si="0"/>
        <v>Saving and Loans Ltd</v>
      </c>
      <c r="BN5" s="25" t="str">
        <f t="shared" si="0"/>
        <v>Saving and Loans Ltd2004</v>
      </c>
      <c r="BO5" s="25" t="str">
        <f t="shared" si="0"/>
        <v>Saving and Loans Ltd2003</v>
      </c>
      <c r="BP5" s="25" t="str">
        <f t="shared" ref="BP5:BS5" si="1">BP2&amp;BP3</f>
        <v>Scottish Pacific Business Finance Ltd</v>
      </c>
      <c r="BQ5" s="25" t="str">
        <f t="shared" si="1"/>
        <v>Scottish Pacific Business Finance Ltd</v>
      </c>
      <c r="BR5" s="25" t="str">
        <f t="shared" si="1"/>
        <v>Scottish Pacific Business Finance Ltd2004</v>
      </c>
      <c r="BS5" s="25" t="str">
        <f t="shared" si="1"/>
        <v>Scottish Pacific Business Finance Ltd2003</v>
      </c>
      <c r="BT5" s="25"/>
      <c r="BU5" s="25" t="str">
        <f t="shared" ref="BU5:DV5" si="2">BU2&amp;BU3</f>
        <v>SMC Building Society</v>
      </c>
      <c r="BV5" s="25" t="str">
        <f t="shared" si="2"/>
        <v>SMC Building Society2004</v>
      </c>
      <c r="BW5" s="25" t="str">
        <f t="shared" si="2"/>
        <v>SMC Building Society2003</v>
      </c>
      <c r="BX5" s="25" t="str">
        <f t="shared" si="2"/>
        <v>Southern Cross Building Society</v>
      </c>
      <c r="BY5" s="25" t="str">
        <f t="shared" si="2"/>
        <v>Southern Cross Building Society</v>
      </c>
      <c r="BZ5" s="25" t="str">
        <f t="shared" si="2"/>
        <v>Southern Cross Building Society2004</v>
      </c>
      <c r="CA5" s="25" t="str">
        <f t="shared" si="2"/>
        <v>Southern Cross Building Society2003</v>
      </c>
      <c r="CB5" s="25" t="str">
        <f t="shared" si="2"/>
        <v>South Canterbury Finance Ltd</v>
      </c>
      <c r="CC5" s="25" t="str">
        <f t="shared" si="2"/>
        <v>South Canterbury Finance Ltd</v>
      </c>
      <c r="CD5" s="25" t="str">
        <f t="shared" si="2"/>
        <v>South Canterbury Finance Ltd2004</v>
      </c>
      <c r="CE5" s="25" t="str">
        <f t="shared" si="2"/>
        <v>South Canterbury Finance Ltd2003</v>
      </c>
      <c r="CF5" s="25" t="str">
        <f t="shared" si="2"/>
        <v>SouthPac Finance Trust Ltd</v>
      </c>
      <c r="CG5" s="25" t="str">
        <f t="shared" si="2"/>
        <v>SouthPac Finance Trust Ltd</v>
      </c>
      <c r="CH5" s="25" t="str">
        <f t="shared" si="2"/>
        <v>SouthPac Finance Trust Ltd</v>
      </c>
      <c r="CI5" s="25" t="str">
        <f t="shared" si="2"/>
        <v>SouthPac Finance Trust Ltd</v>
      </c>
      <c r="CJ5" s="25" t="str">
        <f t="shared" si="2"/>
        <v>Southland Building Society</v>
      </c>
      <c r="CK5" s="25" t="str">
        <f t="shared" si="2"/>
        <v>Southland Building Society</v>
      </c>
      <c r="CL5" s="25" t="str">
        <f t="shared" si="2"/>
        <v>Southland Building Society2004</v>
      </c>
      <c r="CM5" s="25" t="str">
        <f t="shared" si="2"/>
        <v>Southland Building Society2003</v>
      </c>
      <c r="CN5" s="25" t="str">
        <f t="shared" si="2"/>
        <v>Southland Finance Ltd</v>
      </c>
      <c r="CO5" s="25" t="str">
        <f t="shared" si="2"/>
        <v>Southland Finance Ltd</v>
      </c>
      <c r="CP5" s="25" t="str">
        <f t="shared" si="2"/>
        <v>Southland Finance Ltd2004</v>
      </c>
      <c r="CQ5" s="25" t="str">
        <f t="shared" si="2"/>
        <v>Southland Finance Ltd2003</v>
      </c>
      <c r="CR5" s="25" t="str">
        <f t="shared" si="2"/>
        <v>Speirs Finance Ltd</v>
      </c>
      <c r="CS5" s="25" t="str">
        <f t="shared" si="2"/>
        <v>Speirs Finance Ltd</v>
      </c>
      <c r="CT5" s="25" t="str">
        <f t="shared" si="2"/>
        <v>Speirs Finance Ltd2004</v>
      </c>
      <c r="CU5" s="25" t="str">
        <f t="shared" si="2"/>
        <v>Speirs Finance Ltd2003</v>
      </c>
      <c r="CV5" s="25" t="str">
        <f t="shared" si="2"/>
        <v>St Laurence Property &amp; Finance Ltd</v>
      </c>
      <c r="CW5" s="25" t="str">
        <f t="shared" si="2"/>
        <v>St Laurence Property &amp; Finance Ltd</v>
      </c>
      <c r="CX5" s="25" t="str">
        <f t="shared" si="2"/>
        <v>St Laurence Property &amp; Finance Ltd2004</v>
      </c>
      <c r="CY5" s="25" t="str">
        <f t="shared" si="2"/>
        <v>St Laurence Property &amp; Finance Ltd2003</v>
      </c>
      <c r="CZ5" s="25" t="str">
        <f t="shared" si="2"/>
        <v>Strata Finance Ltd</v>
      </c>
      <c r="DA5" s="25" t="str">
        <f t="shared" si="2"/>
        <v>Strata Finance Ltd</v>
      </c>
      <c r="DB5" s="25" t="str">
        <f t="shared" si="2"/>
        <v>Strata Finance Ltd</v>
      </c>
      <c r="DC5" s="25" t="str">
        <f t="shared" si="2"/>
        <v>Strata Finance Ltd</v>
      </c>
      <c r="DD5" s="25" t="str">
        <f t="shared" si="2"/>
        <v>Strategic Finance Ltd</v>
      </c>
      <c r="DE5" s="25" t="str">
        <f t="shared" si="2"/>
        <v>Strategic Finance Ltd</v>
      </c>
      <c r="DF5" s="25" t="str">
        <f t="shared" si="2"/>
        <v>Strategic Finance Ltd2004</v>
      </c>
      <c r="DG5" s="25" t="str">
        <f t="shared" si="2"/>
        <v>Strategic Finance Ltd2003</v>
      </c>
      <c r="DH5" s="25" t="str">
        <f t="shared" si="2"/>
        <v>TCNZ Finance Ltd</v>
      </c>
      <c r="DI5" s="25" t="str">
        <f t="shared" si="2"/>
        <v>TCNZ Finance Ltd</v>
      </c>
      <c r="DJ5" s="25" t="str">
        <f t="shared" si="2"/>
        <v>TCNZ Finance Ltd2004</v>
      </c>
      <c r="DK5" s="25" t="str">
        <f t="shared" si="2"/>
        <v>TCNZ Finance Ltd2003</v>
      </c>
      <c r="DL5" s="25" t="str">
        <f t="shared" si="2"/>
        <v>TCNZ Finance Ltd2002</v>
      </c>
      <c r="DM5" s="25" t="str">
        <f t="shared" si="2"/>
        <v>TCNZ Finance Ltd2001</v>
      </c>
      <c r="DN5" s="25" t="str">
        <f t="shared" si="2"/>
        <v>TCNZ Finance Ltd2000</v>
      </c>
      <c r="DO5" s="25" t="str">
        <f t="shared" si="2"/>
        <v>Technology Holding Ltd</v>
      </c>
      <c r="DP5" s="25" t="str">
        <f t="shared" si="2"/>
        <v>Technology Holding Ltd</v>
      </c>
      <c r="DQ5" s="25" t="str">
        <f t="shared" si="2"/>
        <v>Technology Holding Ltd2004</v>
      </c>
      <c r="DR5" s="25" t="str">
        <f t="shared" si="2"/>
        <v>Technology Holding Ltd2003</v>
      </c>
      <c r="DS5" s="25" t="str">
        <f t="shared" si="2"/>
        <v>Toyota Finance Ltd</v>
      </c>
      <c r="DT5" s="25" t="str">
        <f t="shared" si="2"/>
        <v>Toyota Finance Ltd</v>
      </c>
      <c r="DU5" s="25" t="str">
        <f t="shared" si="2"/>
        <v>Toyota Finance Ltd2004</v>
      </c>
      <c r="DV5" s="25" t="str">
        <f t="shared" si="2"/>
        <v>Toyota Finance Ltd2003</v>
      </c>
      <c r="FV5" s="25" t="str">
        <f>FV2&amp;FV3</f>
        <v/>
      </c>
      <c r="FW5" s="25" t="str">
        <f>FW2&amp;FW3</f>
        <v/>
      </c>
      <c r="FX5" s="25" t="str">
        <f>FX2&amp;FX3</f>
        <v/>
      </c>
      <c r="FY5" s="25" t="str">
        <f>FY2&amp;FY3</f>
        <v/>
      </c>
      <c r="FZ5" s="25" t="str">
        <f t="shared" ref="FZ5:HY5" si="3">FZ2&amp;FZ3</f>
        <v/>
      </c>
      <c r="GA5" s="25" t="str">
        <f t="shared" si="3"/>
        <v/>
      </c>
      <c r="GB5" s="25" t="str">
        <f t="shared" si="3"/>
        <v/>
      </c>
      <c r="GC5" s="25" t="str">
        <f t="shared" si="3"/>
        <v/>
      </c>
      <c r="GD5" s="25" t="str">
        <f t="shared" si="3"/>
        <v/>
      </c>
      <c r="GE5" s="25" t="str">
        <f t="shared" si="3"/>
        <v/>
      </c>
      <c r="GF5" s="25" t="str">
        <f t="shared" si="3"/>
        <v/>
      </c>
      <c r="GG5" s="25" t="str">
        <f t="shared" si="3"/>
        <v/>
      </c>
      <c r="GH5" s="25" t="str">
        <f t="shared" si="3"/>
        <v/>
      </c>
      <c r="GI5" s="25" t="str">
        <f t="shared" si="3"/>
        <v/>
      </c>
      <c r="GJ5" s="25" t="str">
        <f t="shared" si="3"/>
        <v/>
      </c>
      <c r="GK5" s="25" t="str">
        <f t="shared" si="3"/>
        <v/>
      </c>
      <c r="GL5" s="25" t="str">
        <f t="shared" si="3"/>
        <v/>
      </c>
      <c r="GM5" s="25" t="str">
        <f t="shared" si="3"/>
        <v/>
      </c>
      <c r="GN5" s="25" t="str">
        <f t="shared" si="3"/>
        <v/>
      </c>
      <c r="GO5" s="25" t="str">
        <f t="shared" si="3"/>
        <v/>
      </c>
      <c r="GP5" s="25" t="str">
        <f t="shared" si="3"/>
        <v/>
      </c>
      <c r="GQ5" s="25" t="str">
        <f t="shared" si="3"/>
        <v/>
      </c>
      <c r="GR5" s="25" t="str">
        <f t="shared" si="3"/>
        <v/>
      </c>
      <c r="GS5" s="25" t="str">
        <f t="shared" si="3"/>
        <v/>
      </c>
      <c r="GT5" s="25" t="str">
        <f t="shared" si="3"/>
        <v/>
      </c>
      <c r="GU5" s="25" t="str">
        <f t="shared" si="3"/>
        <v/>
      </c>
      <c r="GV5" s="25" t="str">
        <f t="shared" si="3"/>
        <v/>
      </c>
      <c r="GW5" s="25" t="str">
        <f t="shared" si="3"/>
        <v/>
      </c>
      <c r="GX5" s="25" t="str">
        <f t="shared" si="3"/>
        <v/>
      </c>
      <c r="GY5" s="25" t="str">
        <f t="shared" si="3"/>
        <v/>
      </c>
      <c r="GZ5" s="25" t="str">
        <f t="shared" si="3"/>
        <v/>
      </c>
      <c r="HA5" s="25" t="str">
        <f t="shared" si="3"/>
        <v/>
      </c>
      <c r="HB5" s="25" t="str">
        <f t="shared" si="3"/>
        <v/>
      </c>
      <c r="HC5" s="25" t="str">
        <f t="shared" si="3"/>
        <v/>
      </c>
      <c r="HD5" s="25" t="str">
        <f t="shared" si="3"/>
        <v/>
      </c>
      <c r="HE5" s="25" t="str">
        <f t="shared" si="3"/>
        <v/>
      </c>
      <c r="HF5" s="25" t="str">
        <f t="shared" si="3"/>
        <v/>
      </c>
      <c r="HG5" s="25" t="str">
        <f t="shared" si="3"/>
        <v/>
      </c>
      <c r="HH5" s="25" t="str">
        <f t="shared" si="3"/>
        <v/>
      </c>
      <c r="HI5" s="25" t="str">
        <f t="shared" si="3"/>
        <v/>
      </c>
      <c r="HJ5" s="25" t="str">
        <f t="shared" si="3"/>
        <v/>
      </c>
      <c r="HK5" s="25" t="str">
        <f t="shared" si="3"/>
        <v/>
      </c>
      <c r="HL5" s="25" t="str">
        <f t="shared" si="3"/>
        <v/>
      </c>
      <c r="HM5" s="25" t="str">
        <f t="shared" si="3"/>
        <v/>
      </c>
      <c r="HN5" s="25" t="str">
        <f t="shared" si="3"/>
        <v/>
      </c>
      <c r="HO5" s="25" t="str">
        <f t="shared" si="3"/>
        <v/>
      </c>
      <c r="HP5" s="25" t="str">
        <f t="shared" si="3"/>
        <v/>
      </c>
      <c r="HQ5" s="25" t="str">
        <f t="shared" si="3"/>
        <v/>
      </c>
      <c r="HR5" s="25" t="str">
        <f t="shared" si="3"/>
        <v/>
      </c>
      <c r="HS5" s="25" t="str">
        <f t="shared" si="3"/>
        <v/>
      </c>
      <c r="HT5" s="25" t="str">
        <f t="shared" si="3"/>
        <v/>
      </c>
      <c r="HU5" s="25" t="str">
        <f t="shared" si="3"/>
        <v/>
      </c>
      <c r="HV5" s="25" t="str">
        <f t="shared" si="3"/>
        <v/>
      </c>
      <c r="HW5" s="25" t="str">
        <f t="shared" si="3"/>
        <v/>
      </c>
      <c r="HX5" s="25" t="str">
        <f t="shared" si="3"/>
        <v/>
      </c>
      <c r="HY5" s="25" t="str">
        <f t="shared" si="3"/>
        <v/>
      </c>
    </row>
    <row r="6" spans="1:233" ht="12.75" customHeight="1" x14ac:dyDescent="0.2">
      <c r="A6" s="4" t="s">
        <v>117</v>
      </c>
      <c r="E6" s="32"/>
      <c r="F6" s="32"/>
      <c r="I6" s="32"/>
      <c r="J6" s="32"/>
      <c r="M6" s="32"/>
      <c r="N6" s="32"/>
      <c r="Q6" s="32"/>
      <c r="R6" s="32"/>
      <c r="S6" s="32"/>
      <c r="V6" s="32"/>
      <c r="W6" s="32"/>
      <c r="Z6" s="32"/>
      <c r="AA6" s="32"/>
      <c r="AD6" s="32"/>
      <c r="AE6" s="32"/>
      <c r="AH6" s="32"/>
      <c r="AI6" s="32"/>
      <c r="AL6" s="32"/>
      <c r="AM6" s="32"/>
      <c r="AP6" s="32"/>
      <c r="AQ6" s="32"/>
      <c r="AT6" s="32"/>
      <c r="AU6" s="32"/>
      <c r="AX6" s="32"/>
      <c r="AY6" s="32"/>
      <c r="BB6" s="32"/>
      <c r="BC6" s="32"/>
      <c r="BF6" s="32"/>
      <c r="BG6" s="32"/>
      <c r="BJ6" s="32"/>
      <c r="BK6" s="32"/>
      <c r="BN6" s="32"/>
      <c r="BO6" s="32"/>
      <c r="BR6" s="32"/>
      <c r="BS6" s="32"/>
      <c r="BV6" s="32"/>
      <c r="BW6" s="32"/>
      <c r="BZ6" s="32"/>
      <c r="CA6" s="32"/>
      <c r="CD6" s="32"/>
      <c r="CE6" s="32"/>
      <c r="CH6" s="32"/>
      <c r="CI6" s="32"/>
      <c r="CL6" s="32"/>
      <c r="CM6" s="32"/>
      <c r="CP6" s="32"/>
      <c r="CQ6" s="32"/>
      <c r="CT6" s="32"/>
      <c r="CU6" s="32"/>
      <c r="CX6" s="32"/>
      <c r="CY6" s="32"/>
      <c r="DB6" s="32"/>
      <c r="DC6" s="32"/>
      <c r="DF6" s="32"/>
      <c r="DG6" s="32"/>
      <c r="DJ6" s="32"/>
      <c r="DK6" s="32"/>
      <c r="DL6" s="32"/>
      <c r="DM6" s="32"/>
      <c r="DN6" s="32"/>
      <c r="DQ6" s="32"/>
      <c r="DR6" s="32"/>
      <c r="DU6" s="32"/>
      <c r="DV6" s="32"/>
    </row>
    <row r="7" spans="1:233" ht="12.75" customHeight="1" x14ac:dyDescent="0.2">
      <c r="B7" s="33" t="s">
        <v>118</v>
      </c>
      <c r="E7" s="35">
        <f>428.642+187.073</f>
        <v>615.71500000000003</v>
      </c>
      <c r="F7" s="35"/>
      <c r="I7" s="35">
        <v>4.9390000000000001</v>
      </c>
      <c r="J7" s="35">
        <v>4.55</v>
      </c>
      <c r="M7" s="35">
        <f>24141+10976</f>
        <v>35117</v>
      </c>
      <c r="N7" s="35">
        <f>24953+10554</f>
        <v>35507</v>
      </c>
      <c r="Q7" s="35">
        <v>1895</v>
      </c>
      <c r="R7" s="35">
        <v>1834.452</v>
      </c>
      <c r="S7" s="35">
        <v>3561.261</v>
      </c>
      <c r="V7" s="35">
        <v>42067</v>
      </c>
      <c r="W7" s="35">
        <v>16370</v>
      </c>
      <c r="Z7" s="35">
        <v>6602.9</v>
      </c>
      <c r="AA7" s="56">
        <f>5872.722+312.901</f>
        <v>6185.6229999999996</v>
      </c>
      <c r="AD7" s="35">
        <f>9385.314+345.355</f>
        <v>9730.6689999999999</v>
      </c>
      <c r="AE7" s="35">
        <f>7812.098+106.321</f>
        <v>7918.4189999999999</v>
      </c>
      <c r="AH7" s="35">
        <v>30365</v>
      </c>
      <c r="AI7" s="35">
        <v>29814</v>
      </c>
      <c r="AL7" s="35">
        <v>0</v>
      </c>
      <c r="AM7" s="35">
        <v>0</v>
      </c>
      <c r="AP7" s="35">
        <f>2312.282+111.547</f>
        <v>2423.8290000000002</v>
      </c>
      <c r="AQ7" s="35">
        <f>578.322+20.874</f>
        <v>599.19600000000003</v>
      </c>
      <c r="AT7" s="35">
        <v>17342.614000000001</v>
      </c>
      <c r="AU7" s="35">
        <v>10248.839</v>
      </c>
      <c r="AX7" s="35">
        <v>52940</v>
      </c>
      <c r="AY7" s="35">
        <v>50224</v>
      </c>
      <c r="BB7" s="35">
        <v>62.015000000000001</v>
      </c>
      <c r="BC7" s="35"/>
      <c r="BF7" s="35"/>
      <c r="BG7" s="35"/>
      <c r="BJ7" s="35">
        <v>1108.4939999999999</v>
      </c>
      <c r="BK7" s="35">
        <v>611.77</v>
      </c>
      <c r="BN7" s="35">
        <v>626.64200000000005</v>
      </c>
      <c r="BO7" s="35">
        <v>629.36400000000003</v>
      </c>
      <c r="BR7" s="35">
        <v>2682.32</v>
      </c>
      <c r="BS7" s="35">
        <v>2450.5749999999998</v>
      </c>
      <c r="BV7" s="35">
        <v>2657</v>
      </c>
      <c r="BW7" s="35">
        <v>2430</v>
      </c>
      <c r="BZ7" s="35">
        <v>28678</v>
      </c>
      <c r="CA7" s="35">
        <v>28572</v>
      </c>
      <c r="CD7" s="35">
        <f>72143.14</f>
        <v>72143.14</v>
      </c>
      <c r="CE7" s="35">
        <v>61785.976999999999</v>
      </c>
      <c r="CH7" s="35"/>
      <c r="CI7" s="35"/>
      <c r="CL7" s="35">
        <v>107171</v>
      </c>
      <c r="CM7" s="35">
        <v>95237</v>
      </c>
      <c r="CP7" s="35">
        <f>4045.762+22.358+82.76</f>
        <v>4150.88</v>
      </c>
      <c r="CQ7" s="35">
        <f>3889.413+12.689+111.643</f>
        <v>4013.7449999999999</v>
      </c>
      <c r="CT7" s="35">
        <f>16658+1227+1827</f>
        <v>19712</v>
      </c>
      <c r="CU7" s="35">
        <f>13846+469+1888</f>
        <v>16203</v>
      </c>
      <c r="CX7" s="35">
        <f>4510+2778</f>
        <v>7288</v>
      </c>
      <c r="CY7" s="35">
        <v>3339</v>
      </c>
      <c r="DB7" s="35"/>
      <c r="DC7" s="35"/>
      <c r="DF7" s="35">
        <f>34713.59+177.804</f>
        <v>34891.393999999993</v>
      </c>
      <c r="DG7" s="35">
        <f>30110.475+182.087</f>
        <v>30292.561999999998</v>
      </c>
      <c r="DJ7" s="35">
        <v>791448</v>
      </c>
      <c r="DK7" s="35">
        <v>681738</v>
      </c>
      <c r="DL7" s="35"/>
      <c r="DM7" s="35">
        <v>352308</v>
      </c>
      <c r="DN7" s="35">
        <v>278093</v>
      </c>
      <c r="DQ7" s="35">
        <v>54.423000000000002</v>
      </c>
      <c r="DR7" s="35">
        <v>10.930999999999999</v>
      </c>
      <c r="DU7" s="35">
        <v>35168.559999999998</v>
      </c>
      <c r="DV7" s="35">
        <v>32188.543000000001</v>
      </c>
    </row>
    <row r="8" spans="1:233" ht="12.75" customHeight="1" x14ac:dyDescent="0.2">
      <c r="A8" s="38"/>
      <c r="B8" s="39" t="s">
        <v>120</v>
      </c>
      <c r="C8" s="46"/>
      <c r="D8" s="47"/>
      <c r="E8" s="43">
        <v>515.41700000000003</v>
      </c>
      <c r="F8" s="43"/>
      <c r="G8" s="46"/>
      <c r="H8" s="47"/>
      <c r="I8" s="43">
        <v>0</v>
      </c>
      <c r="J8" s="43">
        <v>0</v>
      </c>
      <c r="K8" s="46"/>
      <c r="L8" s="47"/>
      <c r="M8" s="43">
        <v>16719</v>
      </c>
      <c r="N8" s="43">
        <v>16706</v>
      </c>
      <c r="O8" s="46"/>
      <c r="P8" s="47"/>
      <c r="Q8" s="43">
        <v>1719.8230000000001</v>
      </c>
      <c r="R8" s="43">
        <v>970.63499999999999</v>
      </c>
      <c r="S8" s="43">
        <v>1905.143</v>
      </c>
      <c r="T8" s="46"/>
      <c r="U8" s="47"/>
      <c r="V8" s="43">
        <v>18625</v>
      </c>
      <c r="W8" s="43">
        <v>7102</v>
      </c>
      <c r="X8" s="46"/>
      <c r="Y8" s="47"/>
      <c r="Z8" s="43">
        <v>4073.2629999999999</v>
      </c>
      <c r="AA8" s="43">
        <v>3943.3040000000001</v>
      </c>
      <c r="AB8" s="46"/>
      <c r="AC8" s="47"/>
      <c r="AD8" s="43">
        <f>3995.497</f>
        <v>3995.4969999999998</v>
      </c>
      <c r="AE8" s="43">
        <f>2726.021</f>
        <v>2726.0210000000002</v>
      </c>
      <c r="AF8" s="46"/>
      <c r="AG8" s="47"/>
      <c r="AH8" s="43">
        <v>25819</v>
      </c>
      <c r="AI8" s="43">
        <v>23165</v>
      </c>
      <c r="AJ8" s="46"/>
      <c r="AK8" s="47"/>
      <c r="AL8" s="43">
        <v>0</v>
      </c>
      <c r="AM8" s="43">
        <v>0</v>
      </c>
      <c r="AN8" s="46"/>
      <c r="AO8" s="47"/>
      <c r="AP8" s="43">
        <f>1576.275+103.232</f>
        <v>1679.5070000000001</v>
      </c>
      <c r="AQ8" s="43">
        <f>340.007+27.539</f>
        <v>367.54599999999999</v>
      </c>
      <c r="AR8" s="46"/>
      <c r="AS8" s="47"/>
      <c r="AT8" s="43">
        <f>7930.66+1.869</f>
        <v>7932.5289999999995</v>
      </c>
      <c r="AU8" s="43">
        <f>5018.732+17.615</f>
        <v>5036.3469999999998</v>
      </c>
      <c r="AV8" s="46"/>
      <c r="AW8" s="47"/>
      <c r="AX8" s="43">
        <v>26981</v>
      </c>
      <c r="AY8" s="43">
        <v>24338</v>
      </c>
      <c r="AZ8" s="46"/>
      <c r="BA8" s="47"/>
      <c r="BB8" s="43">
        <v>9.1419999999999995</v>
      </c>
      <c r="BC8" s="43"/>
      <c r="BD8" s="46"/>
      <c r="BE8" s="47"/>
      <c r="BF8" s="43"/>
      <c r="BG8" s="43"/>
      <c r="BH8" s="46"/>
      <c r="BI8" s="47"/>
      <c r="BJ8" s="43">
        <v>1016.494</v>
      </c>
      <c r="BK8" s="43">
        <v>560.322</v>
      </c>
      <c r="BL8" s="46"/>
      <c r="BM8" s="47"/>
      <c r="BN8" s="43">
        <v>334.03199999999998</v>
      </c>
      <c r="BO8" s="43">
        <v>270.38600000000002</v>
      </c>
      <c r="BP8" s="46"/>
      <c r="BQ8" s="47"/>
      <c r="BR8" s="43">
        <v>992.53200000000004</v>
      </c>
      <c r="BS8" s="43">
        <v>968.18799999999999</v>
      </c>
      <c r="BT8" s="46"/>
      <c r="BU8" s="47"/>
      <c r="BV8" s="43">
        <v>1593</v>
      </c>
      <c r="BW8" s="43">
        <v>1326</v>
      </c>
      <c r="BX8" s="46"/>
      <c r="BY8" s="47"/>
      <c r="BZ8" s="43">
        <v>18505</v>
      </c>
      <c r="CA8" s="43">
        <v>18704</v>
      </c>
      <c r="CB8" s="46"/>
      <c r="CC8" s="47"/>
      <c r="CD8" s="43">
        <f>49822.338</f>
        <v>49822.338000000003</v>
      </c>
      <c r="CE8" s="43">
        <f>43606.703</f>
        <v>43606.703000000001</v>
      </c>
      <c r="CF8" s="46"/>
      <c r="CG8" s="47"/>
      <c r="CH8" s="43"/>
      <c r="CI8" s="43"/>
      <c r="CJ8" s="46"/>
      <c r="CK8" s="47"/>
      <c r="CL8" s="43">
        <v>9560</v>
      </c>
      <c r="CM8" s="43">
        <v>9639</v>
      </c>
      <c r="CN8" s="46"/>
      <c r="CO8" s="47"/>
      <c r="CP8" s="43">
        <f>160.614+2072.328</f>
        <v>2232.942</v>
      </c>
      <c r="CQ8" s="43">
        <f>166.065+1990.305</f>
        <v>2156.37</v>
      </c>
      <c r="CR8" s="46"/>
      <c r="CS8" s="47"/>
      <c r="CT8" s="43">
        <v>16159</v>
      </c>
      <c r="CU8" s="43">
        <v>12058</v>
      </c>
      <c r="CV8" s="46"/>
      <c r="CW8" s="47"/>
      <c r="CX8" s="43">
        <f>4518+719+33</f>
        <v>5270</v>
      </c>
      <c r="CY8" s="43">
        <f>3198+274+49</f>
        <v>3521</v>
      </c>
      <c r="CZ8" s="46"/>
      <c r="DA8" s="47"/>
      <c r="DB8" s="43"/>
      <c r="DC8" s="43"/>
      <c r="DD8" s="46"/>
      <c r="DE8" s="47"/>
      <c r="DF8" s="43">
        <f>18348.449</f>
        <v>18348.449000000001</v>
      </c>
      <c r="DG8" s="43">
        <f>14310.557</f>
        <v>14310.557000000001</v>
      </c>
      <c r="DH8" s="46"/>
      <c r="DI8" s="47"/>
      <c r="DJ8" s="43">
        <v>715105</v>
      </c>
      <c r="DK8" s="43">
        <v>681260</v>
      </c>
      <c r="DL8" s="43"/>
      <c r="DM8" s="43">
        <v>271625</v>
      </c>
      <c r="DN8" s="43">
        <v>260792</v>
      </c>
      <c r="DO8" s="46"/>
      <c r="DP8" s="47"/>
      <c r="DQ8" s="43">
        <v>368.73899999999998</v>
      </c>
      <c r="DR8" s="43">
        <v>216.22399999999999</v>
      </c>
      <c r="DS8" s="46"/>
      <c r="DT8" s="47"/>
      <c r="DU8" s="43">
        <v>23346.246999999999</v>
      </c>
      <c r="DV8" s="43">
        <v>22909.148000000001</v>
      </c>
    </row>
    <row r="9" spans="1:233" ht="12.75" customHeight="1" x14ac:dyDescent="0.2">
      <c r="A9" s="6" t="s">
        <v>121</v>
      </c>
      <c r="B9" s="33"/>
      <c r="C9" s="52"/>
      <c r="D9" s="53"/>
      <c r="E9" s="51">
        <f>E7-E8</f>
        <v>100.298</v>
      </c>
      <c r="F9" s="51"/>
      <c r="G9" s="52"/>
      <c r="H9" s="53"/>
      <c r="I9" s="51">
        <f>I7-I8</f>
        <v>4.9390000000000001</v>
      </c>
      <c r="J9" s="51">
        <f>J7-J8</f>
        <v>4.55</v>
      </c>
      <c r="K9" s="52"/>
      <c r="L9" s="53"/>
      <c r="M9" s="51">
        <f>M7-M8</f>
        <v>18398</v>
      </c>
      <c r="N9" s="51">
        <f>N7-N8</f>
        <v>18801</v>
      </c>
      <c r="O9" s="52"/>
      <c r="P9" s="53"/>
      <c r="Q9" s="51">
        <f>Q7-Q8</f>
        <v>175.17699999999991</v>
      </c>
      <c r="R9" s="51">
        <f>R7-R8</f>
        <v>863.81700000000001</v>
      </c>
      <c r="S9" s="51">
        <f>S7-S8</f>
        <v>1656.1179999999999</v>
      </c>
      <c r="T9" s="52"/>
      <c r="U9" s="53"/>
      <c r="V9" s="51">
        <f>V7-V8</f>
        <v>23442</v>
      </c>
      <c r="W9" s="51">
        <f>W7-W8</f>
        <v>9268</v>
      </c>
      <c r="X9" s="52"/>
      <c r="Y9" s="53"/>
      <c r="Z9" s="51">
        <f>Z7-Z8</f>
        <v>2529.6369999999997</v>
      </c>
      <c r="AA9" s="51">
        <f>AA7-AA8</f>
        <v>2242.3189999999995</v>
      </c>
      <c r="AB9" s="52"/>
      <c r="AC9" s="53"/>
      <c r="AD9" s="51">
        <f>AD7-AD8</f>
        <v>5735.1720000000005</v>
      </c>
      <c r="AE9" s="51">
        <f>AE7-AE8</f>
        <v>5192.3979999999992</v>
      </c>
      <c r="AF9" s="52"/>
      <c r="AG9" s="53"/>
      <c r="AH9" s="51">
        <f>AH7-AH8</f>
        <v>4546</v>
      </c>
      <c r="AI9" s="51">
        <f>AI7-AI8</f>
        <v>6649</v>
      </c>
      <c r="AJ9" s="52"/>
      <c r="AK9" s="53"/>
      <c r="AL9" s="51">
        <v>0</v>
      </c>
      <c r="AM9" s="51">
        <v>0</v>
      </c>
      <c r="AN9" s="52"/>
      <c r="AO9" s="53"/>
      <c r="AP9" s="51">
        <f>AP7-AP8</f>
        <v>744.32200000000012</v>
      </c>
      <c r="AQ9" s="51">
        <f>AQ7-AQ8</f>
        <v>231.65000000000003</v>
      </c>
      <c r="AR9" s="52"/>
      <c r="AS9" s="53"/>
      <c r="AT9" s="51">
        <f>AT7-AT8</f>
        <v>9410.0850000000028</v>
      </c>
      <c r="AU9" s="51">
        <f>AU7-AU8</f>
        <v>5212.4920000000002</v>
      </c>
      <c r="AV9" s="52"/>
      <c r="AW9" s="53"/>
      <c r="AX9" s="51">
        <f>AX7-AX8</f>
        <v>25959</v>
      </c>
      <c r="AY9" s="51">
        <f>AY7-AY8</f>
        <v>25886</v>
      </c>
      <c r="AZ9" s="52"/>
      <c r="BA9" s="53"/>
      <c r="BB9" s="51">
        <f>BB7-BB8</f>
        <v>52.873000000000005</v>
      </c>
      <c r="BC9" s="51"/>
      <c r="BD9" s="52"/>
      <c r="BE9" s="53"/>
      <c r="BF9" s="51"/>
      <c r="BG9" s="51"/>
      <c r="BH9" s="52"/>
      <c r="BI9" s="53"/>
      <c r="BJ9" s="51">
        <f>BJ7-BJ8</f>
        <v>91.999999999999886</v>
      </c>
      <c r="BK9" s="51">
        <f>BK7-BK8</f>
        <v>51.447999999999979</v>
      </c>
      <c r="BL9" s="52"/>
      <c r="BM9" s="53"/>
      <c r="BN9" s="51">
        <f>BN7-BN8</f>
        <v>292.61000000000007</v>
      </c>
      <c r="BO9" s="51">
        <f>BO7-BO8</f>
        <v>358.97800000000001</v>
      </c>
      <c r="BP9" s="52"/>
      <c r="BQ9" s="53"/>
      <c r="BR9" s="51">
        <f>BR7-BR8</f>
        <v>1689.788</v>
      </c>
      <c r="BS9" s="51">
        <f>BS7-BS8</f>
        <v>1482.3869999999997</v>
      </c>
      <c r="BT9" s="52"/>
      <c r="BU9" s="53"/>
      <c r="BV9" s="51">
        <f>BV7-BV8</f>
        <v>1064</v>
      </c>
      <c r="BW9" s="51">
        <f>BW7-BW8</f>
        <v>1104</v>
      </c>
      <c r="BX9" s="52"/>
      <c r="BY9" s="53"/>
      <c r="BZ9" s="51">
        <f>BZ7-BZ8</f>
        <v>10173</v>
      </c>
      <c r="CA9" s="51">
        <f>CA7-CA8</f>
        <v>9868</v>
      </c>
      <c r="CB9" s="52"/>
      <c r="CC9" s="53"/>
      <c r="CD9" s="51">
        <f>CD7-CD8</f>
        <v>22320.801999999996</v>
      </c>
      <c r="CE9" s="51">
        <f>CE7-CE8</f>
        <v>18179.273999999998</v>
      </c>
      <c r="CF9" s="52"/>
      <c r="CG9" s="53"/>
      <c r="CH9" s="51"/>
      <c r="CI9" s="51"/>
      <c r="CJ9" s="52"/>
      <c r="CK9" s="53"/>
      <c r="CL9" s="51">
        <f>CL7-CL8</f>
        <v>97611</v>
      </c>
      <c r="CM9" s="51">
        <f>CM7-CM8</f>
        <v>85598</v>
      </c>
      <c r="CN9" s="52"/>
      <c r="CO9" s="53"/>
      <c r="CP9" s="51">
        <f>CP7-CP8</f>
        <v>1917.9380000000001</v>
      </c>
      <c r="CQ9" s="51">
        <f>CQ7-CQ8</f>
        <v>1857.375</v>
      </c>
      <c r="CR9" s="52"/>
      <c r="CS9" s="53"/>
      <c r="CT9" s="51">
        <f>CT7-CT8</f>
        <v>3553</v>
      </c>
      <c r="CU9" s="51">
        <f>CU7-CU8</f>
        <v>4145</v>
      </c>
      <c r="CV9" s="52"/>
      <c r="CW9" s="53"/>
      <c r="CX9" s="51">
        <f>CX7-CX8</f>
        <v>2018</v>
      </c>
      <c r="CY9" s="51">
        <f>CY7-CY8</f>
        <v>-182</v>
      </c>
      <c r="CZ9" s="52"/>
      <c r="DA9" s="53"/>
      <c r="DB9" s="51"/>
      <c r="DC9" s="51"/>
      <c r="DD9" s="52"/>
      <c r="DE9" s="53"/>
      <c r="DF9" s="51">
        <f>DF7-DF8</f>
        <v>16542.944999999992</v>
      </c>
      <c r="DG9" s="51">
        <f>DG7-DG8</f>
        <v>15982.004999999997</v>
      </c>
      <c r="DH9" s="52"/>
      <c r="DI9" s="53"/>
      <c r="DJ9" s="51">
        <f>DJ7-DJ8</f>
        <v>76343</v>
      </c>
      <c r="DK9" s="51">
        <f>DK7-DK8</f>
        <v>478</v>
      </c>
      <c r="DL9" s="51"/>
      <c r="DM9" s="51">
        <f>DM7-DM8</f>
        <v>80683</v>
      </c>
      <c r="DN9" s="51">
        <f>DN7-DN8</f>
        <v>17301</v>
      </c>
      <c r="DO9" s="52"/>
      <c r="DP9" s="53"/>
      <c r="DQ9" s="51">
        <f>DQ7-DQ8</f>
        <v>-314.31599999999997</v>
      </c>
      <c r="DR9" s="51">
        <f>DR7-DR8</f>
        <v>-205.29299999999998</v>
      </c>
      <c r="DS9" s="52"/>
      <c r="DT9" s="53"/>
      <c r="DU9" s="51">
        <f>DU7-DU8</f>
        <v>11822.312999999998</v>
      </c>
      <c r="DV9" s="51">
        <f>DV7-DV8</f>
        <v>9279.3950000000004</v>
      </c>
    </row>
    <row r="10" spans="1:233" ht="12.75" customHeight="1" x14ac:dyDescent="0.2">
      <c r="A10" s="6"/>
      <c r="B10" s="33"/>
      <c r="C10" s="52"/>
      <c r="D10" s="53"/>
      <c r="E10" s="56"/>
      <c r="F10" s="56"/>
      <c r="G10" s="52"/>
      <c r="H10" s="53"/>
      <c r="I10" s="56"/>
      <c r="J10" s="56"/>
      <c r="K10" s="52"/>
      <c r="L10" s="53"/>
      <c r="M10" s="56"/>
      <c r="N10" s="56"/>
      <c r="O10" s="52"/>
      <c r="P10" s="53"/>
      <c r="Q10" s="56"/>
      <c r="R10" s="56"/>
      <c r="S10" s="56"/>
      <c r="T10" s="52"/>
      <c r="U10" s="53"/>
      <c r="V10" s="56"/>
      <c r="W10" s="56"/>
      <c r="X10" s="52"/>
      <c r="Y10" s="53"/>
      <c r="Z10" s="56"/>
      <c r="AA10" s="56"/>
      <c r="AB10" s="52"/>
      <c r="AC10" s="53"/>
      <c r="AD10" s="56"/>
      <c r="AE10" s="56"/>
      <c r="AF10" s="52"/>
      <c r="AG10" s="53"/>
      <c r="AH10" s="56"/>
      <c r="AI10" s="56"/>
      <c r="AJ10" s="52"/>
      <c r="AK10" s="53"/>
      <c r="AL10" s="56"/>
      <c r="AM10" s="56"/>
      <c r="AN10" s="52"/>
      <c r="AO10" s="53"/>
      <c r="AP10" s="56"/>
      <c r="AQ10" s="56"/>
      <c r="AR10" s="52"/>
      <c r="AS10" s="53"/>
      <c r="AT10" s="56"/>
      <c r="AU10" s="56"/>
      <c r="AV10" s="52"/>
      <c r="AW10" s="53"/>
      <c r="AX10" s="56"/>
      <c r="AY10" s="56"/>
      <c r="AZ10" s="52"/>
      <c r="BA10" s="53"/>
      <c r="BB10" s="56"/>
      <c r="BC10" s="56"/>
      <c r="BD10" s="52"/>
      <c r="BE10" s="53"/>
      <c r="BF10" s="56"/>
      <c r="BG10" s="56"/>
      <c r="BH10" s="52"/>
      <c r="BI10" s="53"/>
      <c r="BJ10" s="56"/>
      <c r="BK10" s="56"/>
      <c r="BL10" s="52"/>
      <c r="BM10" s="53"/>
      <c r="BN10" s="56"/>
      <c r="BO10" s="56"/>
      <c r="BP10" s="52"/>
      <c r="BQ10" s="53"/>
      <c r="BR10" s="56"/>
      <c r="BS10" s="56"/>
      <c r="BT10" s="52"/>
      <c r="BU10" s="53"/>
      <c r="BV10" s="56"/>
      <c r="BW10" s="56"/>
      <c r="BX10" s="52"/>
      <c r="BY10" s="53"/>
      <c r="BZ10" s="56"/>
      <c r="CA10" s="56"/>
      <c r="CB10" s="52"/>
      <c r="CC10" s="53"/>
      <c r="CD10" s="56"/>
      <c r="CE10" s="56"/>
      <c r="CF10" s="52"/>
      <c r="CG10" s="53"/>
      <c r="CH10" s="56"/>
      <c r="CI10" s="56"/>
      <c r="CJ10" s="52"/>
      <c r="CK10" s="53"/>
      <c r="CL10" s="56"/>
      <c r="CM10" s="56"/>
      <c r="CN10" s="52"/>
      <c r="CO10" s="53"/>
      <c r="CP10" s="56"/>
      <c r="CQ10" s="56"/>
      <c r="CR10" s="52"/>
      <c r="CS10" s="53"/>
      <c r="CT10" s="56"/>
      <c r="CU10" s="56"/>
      <c r="CV10" s="52"/>
      <c r="CW10" s="53"/>
      <c r="CX10" s="56"/>
      <c r="CY10" s="56"/>
      <c r="CZ10" s="52"/>
      <c r="DA10" s="53"/>
      <c r="DB10" s="56"/>
      <c r="DC10" s="56"/>
      <c r="DD10" s="52"/>
      <c r="DE10" s="53"/>
      <c r="DF10" s="56"/>
      <c r="DG10" s="56"/>
      <c r="DH10" s="52"/>
      <c r="DI10" s="53"/>
      <c r="DJ10" s="56"/>
      <c r="DK10" s="56"/>
      <c r="DL10" s="56"/>
      <c r="DM10" s="56"/>
      <c r="DN10" s="56"/>
      <c r="DO10" s="52"/>
      <c r="DP10" s="53"/>
      <c r="DQ10" s="56"/>
      <c r="DR10" s="56"/>
      <c r="DS10" s="52"/>
      <c r="DT10" s="53"/>
      <c r="DU10" s="56"/>
      <c r="DV10" s="56"/>
    </row>
    <row r="11" spans="1:233" ht="12.75" customHeight="1" x14ac:dyDescent="0.2">
      <c r="A11" s="6"/>
      <c r="B11" s="33" t="s">
        <v>122</v>
      </c>
      <c r="C11" s="7"/>
      <c r="D11" s="8"/>
      <c r="E11" s="56">
        <v>0</v>
      </c>
      <c r="F11" s="197"/>
      <c r="G11" s="7"/>
      <c r="H11" s="8"/>
      <c r="I11" s="56">
        <v>0</v>
      </c>
      <c r="J11" s="197">
        <v>0</v>
      </c>
      <c r="K11" s="7"/>
      <c r="L11" s="8"/>
      <c r="M11" s="56">
        <v>0</v>
      </c>
      <c r="N11" s="197">
        <v>0</v>
      </c>
      <c r="O11" s="7"/>
      <c r="P11" s="8"/>
      <c r="Q11" s="197">
        <v>0</v>
      </c>
      <c r="R11" s="56">
        <v>0</v>
      </c>
      <c r="S11" s="197">
        <v>0</v>
      </c>
      <c r="T11" s="7"/>
      <c r="U11" s="8"/>
      <c r="V11" s="56">
        <v>4360</v>
      </c>
      <c r="W11" s="56">
        <v>3434</v>
      </c>
      <c r="X11" s="7"/>
      <c r="Y11" s="8"/>
      <c r="Z11" s="56">
        <v>0</v>
      </c>
      <c r="AA11" s="197">
        <v>0</v>
      </c>
      <c r="AB11" s="7"/>
      <c r="AC11" s="8"/>
      <c r="AD11" s="56">
        <v>0</v>
      </c>
      <c r="AE11" s="197">
        <v>0</v>
      </c>
      <c r="AF11" s="7"/>
      <c r="AG11" s="8"/>
      <c r="AH11" s="56">
        <f>718</f>
        <v>718</v>
      </c>
      <c r="AI11" s="197">
        <v>977</v>
      </c>
      <c r="AJ11" s="7"/>
      <c r="AK11" s="8"/>
      <c r="AL11" s="56">
        <v>0</v>
      </c>
      <c r="AM11" s="197">
        <v>0</v>
      </c>
      <c r="AN11" s="7"/>
      <c r="AO11" s="8"/>
      <c r="AP11" s="56">
        <v>0</v>
      </c>
      <c r="AQ11" s="197">
        <v>0</v>
      </c>
      <c r="AR11" s="7"/>
      <c r="AS11" s="8"/>
      <c r="AT11" s="56">
        <v>0</v>
      </c>
      <c r="AU11" s="197">
        <v>0</v>
      </c>
      <c r="AV11" s="7"/>
      <c r="AW11" s="8"/>
      <c r="AX11" s="56">
        <v>0</v>
      </c>
      <c r="AY11" s="197">
        <v>0</v>
      </c>
      <c r="AZ11" s="7"/>
      <c r="BA11" s="8"/>
      <c r="BB11" s="56">
        <v>0</v>
      </c>
      <c r="BC11" s="197"/>
      <c r="BD11" s="7"/>
      <c r="BE11" s="8"/>
      <c r="BF11" s="56"/>
      <c r="BG11" s="197"/>
      <c r="BH11" s="7"/>
      <c r="BI11" s="8"/>
      <c r="BJ11" s="56">
        <v>0</v>
      </c>
      <c r="BK11" s="197">
        <v>0</v>
      </c>
      <c r="BL11" s="7"/>
      <c r="BM11" s="8"/>
      <c r="BN11" s="56">
        <v>0</v>
      </c>
      <c r="BO11" s="197">
        <v>0</v>
      </c>
      <c r="BP11" s="7"/>
      <c r="BQ11" s="8"/>
      <c r="BR11" s="56">
        <v>0</v>
      </c>
      <c r="BS11" s="197">
        <v>0</v>
      </c>
      <c r="BT11" s="7"/>
      <c r="BU11" s="8"/>
      <c r="BV11" s="197">
        <v>0</v>
      </c>
      <c r="BW11" s="197">
        <v>0</v>
      </c>
      <c r="BX11" s="7"/>
      <c r="BY11" s="8"/>
      <c r="BZ11" s="56">
        <v>0</v>
      </c>
      <c r="CA11" s="197">
        <v>0</v>
      </c>
      <c r="CB11" s="7"/>
      <c r="CC11" s="8"/>
      <c r="CD11" s="56">
        <v>0</v>
      </c>
      <c r="CE11" s="197">
        <v>0</v>
      </c>
      <c r="CF11" s="7"/>
      <c r="CG11" s="8"/>
      <c r="CH11" s="56"/>
      <c r="CI11" s="197"/>
      <c r="CJ11" s="7"/>
      <c r="CK11" s="8"/>
      <c r="CL11" s="56">
        <v>0</v>
      </c>
      <c r="CM11" s="197">
        <v>0</v>
      </c>
      <c r="CN11" s="7"/>
      <c r="CO11" s="8"/>
      <c r="CP11" s="56">
        <v>0</v>
      </c>
      <c r="CQ11" s="197">
        <v>0</v>
      </c>
      <c r="CR11" s="7"/>
      <c r="CS11" s="8"/>
      <c r="CT11" s="56">
        <v>151</v>
      </c>
      <c r="CU11" s="197">
        <v>78</v>
      </c>
      <c r="CV11" s="7"/>
      <c r="CW11" s="8"/>
      <c r="CX11" s="56">
        <v>0</v>
      </c>
      <c r="CY11" s="56">
        <v>0</v>
      </c>
      <c r="CZ11" s="7"/>
      <c r="DA11" s="8"/>
      <c r="DB11" s="56"/>
      <c r="DC11" s="197"/>
      <c r="DD11" s="7"/>
      <c r="DE11" s="8"/>
      <c r="DF11" s="56">
        <v>0</v>
      </c>
      <c r="DG11" s="197">
        <v>0</v>
      </c>
      <c r="DH11" s="7"/>
      <c r="DI11" s="8"/>
      <c r="DJ11" s="56">
        <v>0</v>
      </c>
      <c r="DK11" s="197">
        <v>0</v>
      </c>
      <c r="DL11" s="56"/>
      <c r="DM11" s="56">
        <v>0</v>
      </c>
      <c r="DN11" s="197">
        <v>0</v>
      </c>
      <c r="DO11" s="7"/>
      <c r="DP11" s="8"/>
      <c r="DQ11" s="56">
        <v>0</v>
      </c>
      <c r="DR11" s="197">
        <v>0</v>
      </c>
      <c r="DS11" s="7"/>
      <c r="DT11" s="8"/>
      <c r="DU11" s="56">
        <v>0</v>
      </c>
      <c r="DV11" s="197">
        <v>0</v>
      </c>
    </row>
    <row r="12" spans="1:233" ht="12.75" customHeight="1" x14ac:dyDescent="0.2">
      <c r="A12" s="6"/>
      <c r="B12" s="33" t="s">
        <v>123</v>
      </c>
      <c r="C12" s="52"/>
      <c r="D12" s="53"/>
      <c r="E12" s="56">
        <v>35.47</v>
      </c>
      <c r="F12" s="56"/>
      <c r="G12" s="52"/>
      <c r="H12" s="53"/>
      <c r="I12" s="56">
        <v>0</v>
      </c>
      <c r="J12" s="56">
        <v>0</v>
      </c>
      <c r="K12" s="52"/>
      <c r="L12" s="53"/>
      <c r="M12" s="56">
        <v>0</v>
      </c>
      <c r="N12" s="56">
        <v>0</v>
      </c>
      <c r="O12" s="52"/>
      <c r="P12" s="53"/>
      <c r="Q12" s="56">
        <v>390</v>
      </c>
      <c r="R12" s="56">
        <v>391.26299999999998</v>
      </c>
      <c r="S12" s="56">
        <v>623.01400000000001</v>
      </c>
      <c r="T12" s="52"/>
      <c r="U12" s="53"/>
      <c r="V12" s="56">
        <v>195</v>
      </c>
      <c r="W12" s="56">
        <v>2200</v>
      </c>
      <c r="X12" s="52"/>
      <c r="Y12" s="53"/>
      <c r="Z12" s="56">
        <v>0</v>
      </c>
      <c r="AA12" s="56">
        <v>0</v>
      </c>
      <c r="AB12" s="52"/>
      <c r="AC12" s="53"/>
      <c r="AD12" s="56">
        <f>1129.419+979.621</f>
        <v>2109.04</v>
      </c>
      <c r="AE12" s="56">
        <f>908.428+1067.232</f>
        <v>1975.6599999999999</v>
      </c>
      <c r="AF12" s="52"/>
      <c r="AG12" s="53"/>
      <c r="AH12" s="56">
        <v>0</v>
      </c>
      <c r="AI12" s="56">
        <v>0</v>
      </c>
      <c r="AJ12" s="52"/>
      <c r="AK12" s="53"/>
      <c r="AL12" s="56">
        <v>0</v>
      </c>
      <c r="AM12" s="56">
        <v>0</v>
      </c>
      <c r="AN12" s="52"/>
      <c r="AO12" s="53"/>
      <c r="AP12" s="56">
        <v>1210.625</v>
      </c>
      <c r="AQ12" s="56">
        <v>384.315</v>
      </c>
      <c r="AR12" s="52"/>
      <c r="AS12" s="53"/>
      <c r="AT12" s="56">
        <v>28071.085999999999</v>
      </c>
      <c r="AU12" s="56">
        <v>11217.88</v>
      </c>
      <c r="AV12" s="52"/>
      <c r="AW12" s="53"/>
      <c r="AX12" s="56">
        <f>3385+9222+849</f>
        <v>13456</v>
      </c>
      <c r="AY12" s="56">
        <f>2998+8317+640</f>
        <v>11955</v>
      </c>
      <c r="AZ12" s="52"/>
      <c r="BA12" s="53"/>
      <c r="BB12" s="56">
        <v>34.798000000000002</v>
      </c>
      <c r="BC12" s="56"/>
      <c r="BD12" s="52"/>
      <c r="BE12" s="53"/>
      <c r="BF12" s="56"/>
      <c r="BG12" s="56"/>
      <c r="BH12" s="52"/>
      <c r="BI12" s="53"/>
      <c r="BJ12" s="56">
        <v>0</v>
      </c>
      <c r="BK12" s="56">
        <v>0</v>
      </c>
      <c r="BL12" s="52"/>
      <c r="BM12" s="53"/>
      <c r="BN12" s="56">
        <v>272.51600000000002</v>
      </c>
      <c r="BO12" s="56">
        <v>177.964</v>
      </c>
      <c r="BP12" s="52"/>
      <c r="BQ12" s="53"/>
      <c r="BR12" s="56">
        <v>3234.0680000000002</v>
      </c>
      <c r="BS12" s="56">
        <v>2862.74</v>
      </c>
      <c r="BT12" s="52"/>
      <c r="BU12" s="53"/>
      <c r="BV12" s="56">
        <v>0</v>
      </c>
      <c r="BW12" s="56">
        <v>0</v>
      </c>
      <c r="BX12" s="52"/>
      <c r="BY12" s="53"/>
      <c r="BZ12" s="56">
        <v>0</v>
      </c>
      <c r="CA12" s="56">
        <v>0</v>
      </c>
      <c r="CB12" s="52"/>
      <c r="CC12" s="53"/>
      <c r="CD12" s="56">
        <v>0</v>
      </c>
      <c r="CE12" s="56">
        <v>0</v>
      </c>
      <c r="CF12" s="52"/>
      <c r="CG12" s="53"/>
      <c r="CH12" s="56"/>
      <c r="CI12" s="56"/>
      <c r="CJ12" s="52"/>
      <c r="CK12" s="53"/>
      <c r="CL12" s="56">
        <v>0</v>
      </c>
      <c r="CM12" s="56">
        <v>0</v>
      </c>
      <c r="CN12" s="52"/>
      <c r="CO12" s="53"/>
      <c r="CP12" s="56">
        <v>517.25599999999997</v>
      </c>
      <c r="CQ12" s="56">
        <v>468.96</v>
      </c>
      <c r="CR12" s="52"/>
      <c r="CS12" s="53"/>
      <c r="CT12" s="56">
        <f>3020+3342</f>
        <v>6362</v>
      </c>
      <c r="CU12" s="56">
        <f>2428+2096</f>
        <v>4524</v>
      </c>
      <c r="CV12" s="52"/>
      <c r="CW12" s="53"/>
      <c r="CX12" s="56">
        <v>1338</v>
      </c>
      <c r="CY12" s="56">
        <f>989+193</f>
        <v>1182</v>
      </c>
      <c r="CZ12" s="52"/>
      <c r="DA12" s="53"/>
      <c r="DB12" s="56"/>
      <c r="DC12" s="56"/>
      <c r="DD12" s="52"/>
      <c r="DE12" s="53"/>
      <c r="DF12" s="56">
        <f>8597.654+13666.716</f>
        <v>22264.370000000003</v>
      </c>
      <c r="DG12" s="56">
        <f>8450.59+8</f>
        <v>8458.59</v>
      </c>
      <c r="DH12" s="52"/>
      <c r="DI12" s="53"/>
      <c r="DJ12" s="56">
        <v>0</v>
      </c>
      <c r="DK12" s="56">
        <v>0</v>
      </c>
      <c r="DL12" s="56"/>
      <c r="DM12" s="56">
        <v>0</v>
      </c>
      <c r="DN12" s="56">
        <v>0</v>
      </c>
      <c r="DO12" s="52"/>
      <c r="DP12" s="53"/>
      <c r="DQ12" s="56">
        <v>0</v>
      </c>
      <c r="DR12" s="56">
        <v>0</v>
      </c>
      <c r="DS12" s="52"/>
      <c r="DT12" s="53"/>
      <c r="DU12" s="56">
        <v>560.44500000000005</v>
      </c>
      <c r="DV12" s="56">
        <v>516.72799999999995</v>
      </c>
    </row>
    <row r="13" spans="1:233" ht="12.75" customHeight="1" x14ac:dyDescent="0.2">
      <c r="A13" s="58"/>
      <c r="B13" s="59" t="s">
        <v>124</v>
      </c>
      <c r="C13" s="63"/>
      <c r="D13" s="64"/>
      <c r="E13" s="61">
        <v>0</v>
      </c>
      <c r="F13" s="61"/>
      <c r="G13" s="63"/>
      <c r="H13" s="64"/>
      <c r="I13" s="61">
        <f>I14-I11-I12</f>
        <v>15071.642</v>
      </c>
      <c r="J13" s="61">
        <f>J14-J11-J12</f>
        <v>15080.047</v>
      </c>
      <c r="K13" s="63"/>
      <c r="L13" s="64"/>
      <c r="M13" s="61">
        <f>M14-M11-M12</f>
        <v>10459</v>
      </c>
      <c r="N13" s="61">
        <f>N14-N11-N12</f>
        <v>14360</v>
      </c>
      <c r="O13" s="63"/>
      <c r="P13" s="64"/>
      <c r="Q13" s="61">
        <v>1</v>
      </c>
      <c r="R13" s="61">
        <f>R14-R11-R12</f>
        <v>1.6670000000000869</v>
      </c>
      <c r="S13" s="61">
        <f>S14-S11-S12</f>
        <v>3.9969999999999573</v>
      </c>
      <c r="T13" s="63"/>
      <c r="U13" s="64"/>
      <c r="V13" s="61">
        <v>-8</v>
      </c>
      <c r="W13" s="61">
        <v>53</v>
      </c>
      <c r="X13" s="63"/>
      <c r="Y13" s="64"/>
      <c r="Z13" s="61">
        <f>Z14-Z11-Z12</f>
        <v>50.262</v>
      </c>
      <c r="AA13" s="61">
        <f>AA14-AA11-AA12</f>
        <v>28.556000000000001</v>
      </c>
      <c r="AB13" s="63"/>
      <c r="AC13" s="64"/>
      <c r="AD13" s="61">
        <f>AD14-AD11-AD12</f>
        <v>136.02099999999973</v>
      </c>
      <c r="AE13" s="61">
        <f>AE14-AE11-AE12</f>
        <v>6.261000000000422</v>
      </c>
      <c r="AF13" s="63"/>
      <c r="AG13" s="64"/>
      <c r="AH13" s="61">
        <f>36434+3-957</f>
        <v>35480</v>
      </c>
      <c r="AI13" s="61">
        <f>32091+241+415</f>
        <v>32747</v>
      </c>
      <c r="AJ13" s="63"/>
      <c r="AK13" s="64"/>
      <c r="AL13" s="61">
        <v>0</v>
      </c>
      <c r="AM13" s="61">
        <v>0</v>
      </c>
      <c r="AN13" s="63"/>
      <c r="AO13" s="64"/>
      <c r="AP13" s="61">
        <f>AP14-AP11-AP12</f>
        <v>73.748000000000047</v>
      </c>
      <c r="AQ13" s="61">
        <f>AQ14-AQ11-AQ12</f>
        <v>0</v>
      </c>
      <c r="AR13" s="63"/>
      <c r="AS13" s="64"/>
      <c r="AT13" s="61">
        <f>AT14-AT11-AT12</f>
        <v>183.94499999999971</v>
      </c>
      <c r="AU13" s="61">
        <f>AU14-AU11-AU12</f>
        <v>77.200000000000728</v>
      </c>
      <c r="AV13" s="63"/>
      <c r="AW13" s="64"/>
      <c r="AX13" s="61">
        <f>AX14-AX11-AX12</f>
        <v>5556</v>
      </c>
      <c r="AY13" s="61">
        <f>AY14-AY11-AY12</f>
        <v>6336</v>
      </c>
      <c r="AZ13" s="63"/>
      <c r="BA13" s="64"/>
      <c r="BB13" s="61">
        <f>BB14-BB11-BB12</f>
        <v>62.616</v>
      </c>
      <c r="BC13" s="61"/>
      <c r="BD13" s="63"/>
      <c r="BE13" s="64"/>
      <c r="BF13" s="61"/>
      <c r="BG13" s="61"/>
      <c r="BH13" s="63"/>
      <c r="BI13" s="64"/>
      <c r="BJ13" s="61">
        <v>0</v>
      </c>
      <c r="BK13" s="61">
        <v>0</v>
      </c>
      <c r="BL13" s="63"/>
      <c r="BM13" s="64"/>
      <c r="BN13" s="61">
        <f>BN14-BN11-BN12</f>
        <v>34.148999999999944</v>
      </c>
      <c r="BO13" s="61">
        <f>BO14-BO11-BO12</f>
        <v>8.0719999999999459</v>
      </c>
      <c r="BP13" s="63"/>
      <c r="BQ13" s="64"/>
      <c r="BR13" s="61">
        <f>BR14-BR11-BR12</f>
        <v>9.7779999999997926</v>
      </c>
      <c r="BS13" s="61">
        <f>BS14-BS11-BS12</f>
        <v>9.6200000000008004</v>
      </c>
      <c r="BT13" s="63"/>
      <c r="BU13" s="64"/>
      <c r="BV13" s="61">
        <f>BV14</f>
        <v>349</v>
      </c>
      <c r="BW13" s="61">
        <f>BW14</f>
        <v>318</v>
      </c>
      <c r="BX13" s="63"/>
      <c r="BY13" s="64"/>
      <c r="BZ13" s="61">
        <f>BZ14</f>
        <v>2879</v>
      </c>
      <c r="CA13" s="61">
        <f>CA14</f>
        <v>2201</v>
      </c>
      <c r="CB13" s="63"/>
      <c r="CC13" s="64"/>
      <c r="CD13" s="61">
        <f>CD14-CD11-CD12</f>
        <v>42456.953999999998</v>
      </c>
      <c r="CE13" s="61">
        <f>CE14-CE11-CE12</f>
        <v>34634.168000000005</v>
      </c>
      <c r="CF13" s="63"/>
      <c r="CG13" s="64"/>
      <c r="CH13" s="61"/>
      <c r="CI13" s="61"/>
      <c r="CJ13" s="63"/>
      <c r="CK13" s="64"/>
      <c r="CL13" s="61">
        <f>CL14-CL11-CL12</f>
        <v>10324</v>
      </c>
      <c r="CM13" s="61">
        <f>CM14-CM11-CM12</f>
        <v>6484</v>
      </c>
      <c r="CN13" s="63"/>
      <c r="CO13" s="64"/>
      <c r="CP13" s="61">
        <f>CP14-CP12</f>
        <v>1.5809999999995625</v>
      </c>
      <c r="CQ13" s="61">
        <f>CQ14-CQ12</f>
        <v>13.011000000000479</v>
      </c>
      <c r="CR13" s="63"/>
      <c r="CS13" s="64"/>
      <c r="CT13" s="61">
        <f>CT14-CT12</f>
        <v>16356</v>
      </c>
      <c r="CU13" s="61">
        <f>CU14-CU12</f>
        <v>15574</v>
      </c>
      <c r="CV13" s="63"/>
      <c r="CW13" s="64"/>
      <c r="CX13" s="61">
        <f>CX14-CX12</f>
        <v>3350</v>
      </c>
      <c r="CY13" s="61">
        <f>CY14-CY12</f>
        <v>4196</v>
      </c>
      <c r="CZ13" s="63"/>
      <c r="DA13" s="64"/>
      <c r="DB13" s="61"/>
      <c r="DC13" s="61"/>
      <c r="DD13" s="63"/>
      <c r="DE13" s="64"/>
      <c r="DF13" s="61">
        <f>DF14-DF12</f>
        <v>1809.7780000000057</v>
      </c>
      <c r="DG13" s="61">
        <f>DG14-DG12</f>
        <v>9568.5930000000044</v>
      </c>
      <c r="DH13" s="63"/>
      <c r="DI13" s="64"/>
      <c r="DJ13" s="61">
        <f>DJ14-DJ12</f>
        <v>47556</v>
      </c>
      <c r="DK13" s="61">
        <f>DK14-DK12</f>
        <v>78389</v>
      </c>
      <c r="DL13" s="61"/>
      <c r="DM13" s="61">
        <v>0</v>
      </c>
      <c r="DN13" s="61">
        <v>0</v>
      </c>
      <c r="DO13" s="63"/>
      <c r="DP13" s="64"/>
      <c r="DQ13" s="61">
        <f>DQ14</f>
        <v>3385.3540000000003</v>
      </c>
      <c r="DR13" s="61">
        <f>DR14</f>
        <v>2030.4349999999999</v>
      </c>
      <c r="DS13" s="63"/>
      <c r="DT13" s="64"/>
      <c r="DU13" s="61">
        <f>DU14-DU11-DU12</f>
        <v>33885.074999999997</v>
      </c>
      <c r="DV13" s="61">
        <f>DV14-DV11-DV12</f>
        <v>32109.401000000002</v>
      </c>
    </row>
    <row r="14" spans="1:233" ht="12.75" customHeight="1" x14ac:dyDescent="0.25">
      <c r="A14" s="6" t="s">
        <v>401</v>
      </c>
      <c r="B14" s="65"/>
      <c r="C14" s="7"/>
      <c r="D14" s="8"/>
      <c r="E14" s="56">
        <f>SUM(E11:E13)</f>
        <v>35.47</v>
      </c>
      <c r="F14" s="56"/>
      <c r="G14" s="7"/>
      <c r="H14" s="8"/>
      <c r="I14" s="56">
        <v>15071.642</v>
      </c>
      <c r="J14" s="56">
        <v>15080.047</v>
      </c>
      <c r="K14" s="7"/>
      <c r="L14" s="8"/>
      <c r="M14" s="56">
        <f>45576-M7</f>
        <v>10459</v>
      </c>
      <c r="N14" s="56">
        <f>49867-N7</f>
        <v>14360</v>
      </c>
      <c r="O14" s="7"/>
      <c r="P14" s="8"/>
      <c r="Q14" s="56">
        <f>SUM(Q12:Q13)</f>
        <v>391</v>
      </c>
      <c r="R14" s="56">
        <f>2227.382-R7</f>
        <v>392.93000000000006</v>
      </c>
      <c r="S14" s="56">
        <f>4188.272-S7</f>
        <v>627.01099999999997</v>
      </c>
      <c r="T14" s="7"/>
      <c r="U14" s="8"/>
      <c r="V14" s="56">
        <f>SUM(V11:V13)</f>
        <v>4547</v>
      </c>
      <c r="W14" s="56">
        <f>SUM(W11:W13)</f>
        <v>5687</v>
      </c>
      <c r="X14" s="7"/>
      <c r="Y14" s="8"/>
      <c r="Z14" s="56">
        <f>50.262</f>
        <v>50.262</v>
      </c>
      <c r="AA14" s="56">
        <v>28.556000000000001</v>
      </c>
      <c r="AB14" s="7"/>
      <c r="AC14" s="8"/>
      <c r="AD14" s="56">
        <f>11975.73-AD7</f>
        <v>2245.0609999999997</v>
      </c>
      <c r="AE14" s="56">
        <f>9900.34-AE7</f>
        <v>1981.9210000000003</v>
      </c>
      <c r="AF14" s="7"/>
      <c r="AG14" s="8"/>
      <c r="AH14" s="56">
        <f>SUM(AH11:AH13)</f>
        <v>36198</v>
      </c>
      <c r="AI14" s="56">
        <f>SUM(AI11:AI13)</f>
        <v>33724</v>
      </c>
      <c r="AJ14" s="7"/>
      <c r="AK14" s="8"/>
      <c r="AL14" s="56">
        <v>0</v>
      </c>
      <c r="AM14" s="56">
        <v>0</v>
      </c>
      <c r="AN14" s="7"/>
      <c r="AO14" s="8"/>
      <c r="AP14" s="56">
        <f>3708.202-AP7</f>
        <v>1284.373</v>
      </c>
      <c r="AQ14" s="56">
        <f>983.511-AQ7</f>
        <v>384.31499999999994</v>
      </c>
      <c r="AR14" s="7"/>
      <c r="AS14" s="8"/>
      <c r="AT14" s="56">
        <f>28255.031</f>
        <v>28255.030999999999</v>
      </c>
      <c r="AU14" s="56">
        <f>11295.08</f>
        <v>11295.08</v>
      </c>
      <c r="AV14" s="7"/>
      <c r="AW14" s="8"/>
      <c r="AX14" s="56">
        <f>14976+4036</f>
        <v>19012</v>
      </c>
      <c r="AY14" s="56">
        <f>13195+5096</f>
        <v>18291</v>
      </c>
      <c r="AZ14" s="7"/>
      <c r="BA14" s="8"/>
      <c r="BB14" s="56">
        <f>159.429-BB7</f>
        <v>97.414000000000001</v>
      </c>
      <c r="BC14" s="56"/>
      <c r="BD14" s="7"/>
      <c r="BE14" s="8"/>
      <c r="BF14" s="56"/>
      <c r="BG14" s="56"/>
      <c r="BH14" s="7"/>
      <c r="BI14" s="8"/>
      <c r="BJ14" s="56">
        <v>0</v>
      </c>
      <c r="BK14" s="56">
        <v>0</v>
      </c>
      <c r="BL14" s="7"/>
      <c r="BM14" s="8"/>
      <c r="BN14" s="56">
        <f>933.307-BN7</f>
        <v>306.66499999999996</v>
      </c>
      <c r="BO14" s="56">
        <f>815.4-BO7</f>
        <v>186.03599999999994</v>
      </c>
      <c r="BP14" s="7"/>
      <c r="BQ14" s="8"/>
      <c r="BR14" s="56">
        <f>5926.166-BR7</f>
        <v>3243.846</v>
      </c>
      <c r="BS14" s="56">
        <f>5322.935-BS7</f>
        <v>2872.3600000000006</v>
      </c>
      <c r="BT14" s="7"/>
      <c r="BU14" s="8"/>
      <c r="BV14" s="56">
        <v>349</v>
      </c>
      <c r="BW14" s="56">
        <v>318</v>
      </c>
      <c r="BX14" s="7"/>
      <c r="BY14" s="8"/>
      <c r="BZ14" s="56">
        <f>2879</f>
        <v>2879</v>
      </c>
      <c r="CA14" s="56">
        <v>2201</v>
      </c>
      <c r="CB14" s="7"/>
      <c r="CC14" s="8"/>
      <c r="CD14" s="56">
        <f>114600.094-CD7</f>
        <v>42456.953999999998</v>
      </c>
      <c r="CE14" s="56">
        <f>96420.145-CE7</f>
        <v>34634.168000000005</v>
      </c>
      <c r="CF14" s="7"/>
      <c r="CG14" s="8"/>
      <c r="CH14" s="56"/>
      <c r="CI14" s="56"/>
      <c r="CJ14" s="7"/>
      <c r="CK14" s="8"/>
      <c r="CL14" s="56">
        <f>10324</f>
        <v>10324</v>
      </c>
      <c r="CM14" s="56">
        <v>6484</v>
      </c>
      <c r="CN14" s="7"/>
      <c r="CO14" s="8"/>
      <c r="CP14" s="56">
        <f>4669.717-CP7</f>
        <v>518.83699999999953</v>
      </c>
      <c r="CQ14" s="56">
        <f>4495.716-CQ7</f>
        <v>481.97100000000046</v>
      </c>
      <c r="CR14" s="7"/>
      <c r="CS14" s="8"/>
      <c r="CT14" s="56">
        <f>42430-CT7</f>
        <v>22718</v>
      </c>
      <c r="CU14" s="56">
        <f>36301-CU7</f>
        <v>20098</v>
      </c>
      <c r="CV14" s="7"/>
      <c r="CW14" s="8"/>
      <c r="CX14" s="56">
        <f>11976-CX7</f>
        <v>4688</v>
      </c>
      <c r="CY14" s="56">
        <f>8717-CY7</f>
        <v>5378</v>
      </c>
      <c r="CZ14" s="7"/>
      <c r="DA14" s="8"/>
      <c r="DB14" s="56"/>
      <c r="DC14" s="56"/>
      <c r="DD14" s="7"/>
      <c r="DE14" s="8"/>
      <c r="DF14" s="56">
        <f>58965.542-DF7</f>
        <v>24074.148000000008</v>
      </c>
      <c r="DG14" s="56">
        <f>48319.745-DG7</f>
        <v>18027.183000000005</v>
      </c>
      <c r="DH14" s="7"/>
      <c r="DI14" s="8"/>
      <c r="DJ14" s="56">
        <v>47556</v>
      </c>
      <c r="DK14" s="56">
        <v>78389</v>
      </c>
      <c r="DL14" s="56"/>
      <c r="DM14" s="56">
        <v>0</v>
      </c>
      <c r="DN14" s="56">
        <v>0</v>
      </c>
      <c r="DO14" s="7"/>
      <c r="DP14" s="8"/>
      <c r="DQ14" s="56">
        <f>3439.777-DQ7</f>
        <v>3385.3540000000003</v>
      </c>
      <c r="DR14" s="56">
        <f>2041.366-DR7</f>
        <v>2030.4349999999999</v>
      </c>
      <c r="DS14" s="7"/>
      <c r="DT14" s="8"/>
      <c r="DU14" s="56">
        <f>34445.52</f>
        <v>34445.519999999997</v>
      </c>
      <c r="DV14" s="56">
        <f>32626.129</f>
        <v>32626.129000000001</v>
      </c>
    </row>
    <row r="15" spans="1:233" ht="12.75" customHeight="1" x14ac:dyDescent="0.2">
      <c r="A15" s="6"/>
      <c r="B15" s="65"/>
      <c r="C15" s="7"/>
      <c r="D15" s="8"/>
      <c r="E15" s="51"/>
      <c r="F15" s="51"/>
      <c r="G15" s="7"/>
      <c r="H15" s="8"/>
      <c r="I15" s="51"/>
      <c r="J15" s="51"/>
      <c r="K15" s="7"/>
      <c r="L15" s="8"/>
      <c r="M15" s="51"/>
      <c r="N15" s="51"/>
      <c r="O15" s="7"/>
      <c r="P15" s="8"/>
      <c r="Q15" s="51"/>
      <c r="R15" s="51"/>
      <c r="S15" s="51"/>
      <c r="T15" s="7"/>
      <c r="U15" s="8"/>
      <c r="V15" s="51"/>
      <c r="W15" s="51"/>
      <c r="X15" s="7"/>
      <c r="Y15" s="8"/>
      <c r="Z15" s="51"/>
      <c r="AA15" s="51"/>
      <c r="AB15" s="7"/>
      <c r="AC15" s="8"/>
      <c r="AD15" s="51"/>
      <c r="AE15" s="51"/>
      <c r="AF15" s="7"/>
      <c r="AG15" s="8"/>
      <c r="AH15" s="51"/>
      <c r="AI15" s="51"/>
      <c r="AJ15" s="7"/>
      <c r="AK15" s="8"/>
      <c r="AL15" s="51"/>
      <c r="AM15" s="51"/>
      <c r="AN15" s="7"/>
      <c r="AO15" s="8"/>
      <c r="AP15" s="51"/>
      <c r="AQ15" s="51"/>
      <c r="AR15" s="7"/>
      <c r="AS15" s="8"/>
      <c r="AT15" s="51"/>
      <c r="AU15" s="51"/>
      <c r="AV15" s="7"/>
      <c r="AW15" s="8"/>
      <c r="AX15" s="51"/>
      <c r="AY15" s="51"/>
      <c r="AZ15" s="7"/>
      <c r="BA15" s="8"/>
      <c r="BB15" s="51"/>
      <c r="BC15" s="51"/>
      <c r="BD15" s="7"/>
      <c r="BE15" s="8"/>
      <c r="BF15" s="51"/>
      <c r="BG15" s="51"/>
      <c r="BH15" s="7"/>
      <c r="BI15" s="8"/>
      <c r="BJ15" s="51"/>
      <c r="BK15" s="51"/>
      <c r="BL15" s="7"/>
      <c r="BM15" s="8"/>
      <c r="BN15" s="51"/>
      <c r="BO15" s="51"/>
      <c r="BP15" s="7"/>
      <c r="BQ15" s="8"/>
      <c r="BR15" s="51"/>
      <c r="BS15" s="51"/>
      <c r="BT15" s="7"/>
      <c r="BU15" s="8"/>
      <c r="BV15" s="51"/>
      <c r="BW15" s="51"/>
      <c r="BX15" s="7"/>
      <c r="BY15" s="8"/>
      <c r="BZ15" s="51"/>
      <c r="CA15" s="51"/>
      <c r="CB15" s="7"/>
      <c r="CC15" s="8"/>
      <c r="CD15" s="51"/>
      <c r="CE15" s="51"/>
      <c r="CF15" s="7"/>
      <c r="CG15" s="8"/>
      <c r="CH15" s="51"/>
      <c r="CI15" s="51"/>
      <c r="CJ15" s="7"/>
      <c r="CK15" s="8"/>
      <c r="CL15" s="51"/>
      <c r="CM15" s="51"/>
      <c r="CN15" s="7"/>
      <c r="CO15" s="8"/>
      <c r="CP15" s="51"/>
      <c r="CQ15" s="51"/>
      <c r="CR15" s="7"/>
      <c r="CS15" s="8"/>
      <c r="CT15" s="51"/>
      <c r="CU15" s="51"/>
      <c r="CV15" s="7"/>
      <c r="CW15" s="8"/>
      <c r="CX15" s="51"/>
      <c r="CY15" s="51"/>
      <c r="CZ15" s="7"/>
      <c r="DA15" s="8"/>
      <c r="DB15" s="51"/>
      <c r="DC15" s="51"/>
      <c r="DD15" s="7"/>
      <c r="DE15" s="8"/>
      <c r="DF15" s="51"/>
      <c r="DG15" s="51"/>
      <c r="DH15" s="7"/>
      <c r="DI15" s="8"/>
      <c r="DJ15" s="51"/>
      <c r="DK15" s="51"/>
      <c r="DL15" s="51"/>
      <c r="DM15" s="51"/>
      <c r="DN15" s="51"/>
      <c r="DO15" s="7"/>
      <c r="DP15" s="8"/>
      <c r="DQ15" s="51"/>
      <c r="DR15" s="51"/>
      <c r="DS15" s="7"/>
      <c r="DT15" s="8"/>
      <c r="DU15" s="51"/>
      <c r="DV15" s="51"/>
    </row>
    <row r="16" spans="1:233" ht="12.75" customHeight="1" x14ac:dyDescent="0.2">
      <c r="A16" s="54"/>
      <c r="B16" s="33" t="s">
        <v>126</v>
      </c>
      <c r="C16" s="52"/>
      <c r="D16" s="53"/>
      <c r="E16" s="56">
        <v>75.177000000000007</v>
      </c>
      <c r="F16" s="68"/>
      <c r="G16" s="52"/>
      <c r="H16" s="53"/>
      <c r="I16" s="56">
        <v>0</v>
      </c>
      <c r="J16" s="68">
        <v>0</v>
      </c>
      <c r="K16" s="52"/>
      <c r="L16" s="53"/>
      <c r="M16" s="56">
        <v>223</v>
      </c>
      <c r="N16" s="68">
        <v>184</v>
      </c>
      <c r="O16" s="52"/>
      <c r="P16" s="53"/>
      <c r="Q16" s="68">
        <v>216</v>
      </c>
      <c r="R16" s="56">
        <v>70.328999999999994</v>
      </c>
      <c r="S16" s="68">
        <v>100</v>
      </c>
      <c r="T16" s="52"/>
      <c r="U16" s="53"/>
      <c r="V16" s="56">
        <v>3574</v>
      </c>
      <c r="W16" s="68">
        <v>4788</v>
      </c>
      <c r="X16" s="52"/>
      <c r="Y16" s="53"/>
      <c r="Z16" s="56">
        <v>0</v>
      </c>
      <c r="AA16" s="56">
        <v>0</v>
      </c>
      <c r="AB16" s="52"/>
      <c r="AC16" s="53"/>
      <c r="AD16" s="56">
        <v>1954.2809999999999</v>
      </c>
      <c r="AE16" s="68">
        <f>2600</f>
        <v>2600</v>
      </c>
      <c r="AF16" s="52"/>
      <c r="AG16" s="53"/>
      <c r="AH16" s="56">
        <f>-424-1302</f>
        <v>-1726</v>
      </c>
      <c r="AI16" s="68">
        <f>2300+1482</f>
        <v>3782</v>
      </c>
      <c r="AJ16" s="52"/>
      <c r="AK16" s="53"/>
      <c r="AL16" s="56">
        <v>0</v>
      </c>
      <c r="AM16" s="56">
        <v>0</v>
      </c>
      <c r="AN16" s="52"/>
      <c r="AO16" s="53"/>
      <c r="AP16" s="56">
        <v>156.5</v>
      </c>
      <c r="AQ16" s="68">
        <v>25</v>
      </c>
      <c r="AR16" s="52"/>
      <c r="AS16" s="53"/>
      <c r="AT16" s="68">
        <f>AT49</f>
        <v>2143.8870000000002</v>
      </c>
      <c r="AU16" s="68">
        <f>AU49</f>
        <v>1080.846</v>
      </c>
      <c r="AV16" s="52"/>
      <c r="AW16" s="53"/>
      <c r="AX16" s="56">
        <v>0</v>
      </c>
      <c r="AY16" s="68">
        <v>450</v>
      </c>
      <c r="AZ16" s="52"/>
      <c r="BA16" s="53"/>
      <c r="BB16" s="56">
        <v>0</v>
      </c>
      <c r="BC16" s="68"/>
      <c r="BD16" s="52"/>
      <c r="BE16" s="53"/>
      <c r="BF16" s="56"/>
      <c r="BG16" s="68"/>
      <c r="BH16" s="52"/>
      <c r="BI16" s="53"/>
      <c r="BJ16" s="56">
        <v>0</v>
      </c>
      <c r="BK16" s="68">
        <v>0</v>
      </c>
      <c r="BL16" s="52"/>
      <c r="BM16" s="53"/>
      <c r="BN16" s="56">
        <v>-103.648</v>
      </c>
      <c r="BO16" s="68">
        <v>24</v>
      </c>
      <c r="BP16" s="52"/>
      <c r="BQ16" s="53"/>
      <c r="BR16" s="56">
        <f>1.239-60.75</f>
        <v>-59.511000000000003</v>
      </c>
      <c r="BS16" s="68">
        <f>46.288+51.219</f>
        <v>97.507000000000005</v>
      </c>
      <c r="BT16" s="52"/>
      <c r="BU16" s="53"/>
      <c r="BV16" s="68">
        <v>6</v>
      </c>
      <c r="BW16" s="68">
        <v>22.01</v>
      </c>
      <c r="BX16" s="52"/>
      <c r="BY16" s="53"/>
      <c r="BZ16" s="56">
        <v>0</v>
      </c>
      <c r="CA16" s="68">
        <v>0</v>
      </c>
      <c r="CB16" s="52"/>
      <c r="CC16" s="53"/>
      <c r="CD16" s="56">
        <f>1473.241</f>
        <v>1473.241</v>
      </c>
      <c r="CE16" s="68">
        <v>743.34900000000005</v>
      </c>
      <c r="CF16" s="52"/>
      <c r="CG16" s="53"/>
      <c r="CH16" s="56"/>
      <c r="CI16" s="68"/>
      <c r="CJ16" s="52"/>
      <c r="CK16" s="53"/>
      <c r="CL16" s="56">
        <v>0</v>
      </c>
      <c r="CM16" s="68">
        <v>0</v>
      </c>
      <c r="CN16" s="52"/>
      <c r="CO16" s="53"/>
      <c r="CP16" s="56">
        <v>32.683</v>
      </c>
      <c r="CQ16" s="68">
        <v>33.606000000000002</v>
      </c>
      <c r="CR16" s="52"/>
      <c r="CS16" s="53"/>
      <c r="CT16" s="56">
        <f>588+317</f>
        <v>905</v>
      </c>
      <c r="CU16" s="56">
        <f>87-130</f>
        <v>-43</v>
      </c>
      <c r="CV16" s="52"/>
      <c r="CW16" s="53"/>
      <c r="CX16" s="56">
        <v>0</v>
      </c>
      <c r="CY16" s="56">
        <v>0</v>
      </c>
      <c r="CZ16" s="52"/>
      <c r="DA16" s="53"/>
      <c r="DB16" s="56"/>
      <c r="DC16" s="68"/>
      <c r="DD16" s="52"/>
      <c r="DE16" s="53"/>
      <c r="DF16" s="56">
        <v>539.96699999999998</v>
      </c>
      <c r="DG16" s="68">
        <v>226.22800000000001</v>
      </c>
      <c r="DH16" s="52"/>
      <c r="DI16" s="53"/>
      <c r="DJ16" s="56">
        <v>0</v>
      </c>
      <c r="DK16" s="68">
        <v>0</v>
      </c>
      <c r="DL16" s="56"/>
      <c r="DM16" s="56">
        <v>0</v>
      </c>
      <c r="DN16" s="68">
        <v>0</v>
      </c>
      <c r="DO16" s="52"/>
      <c r="DP16" s="53"/>
      <c r="DQ16" s="56">
        <v>0</v>
      </c>
      <c r="DR16" s="68">
        <v>0</v>
      </c>
      <c r="DS16" s="52"/>
      <c r="DT16" s="53"/>
      <c r="DU16" s="56">
        <f>-102.296+1040.996</f>
        <v>938.7</v>
      </c>
      <c r="DV16" s="68">
        <f>274+827.662</f>
        <v>1101.662</v>
      </c>
    </row>
    <row r="17" spans="1:126" ht="12.75" customHeight="1" x14ac:dyDescent="0.2">
      <c r="A17" s="54"/>
      <c r="B17" s="33" t="s">
        <v>127</v>
      </c>
      <c r="C17" s="52"/>
      <c r="D17" s="53"/>
      <c r="E17" s="68">
        <v>0</v>
      </c>
      <c r="F17" s="68"/>
      <c r="G17" s="52"/>
      <c r="H17" s="53"/>
      <c r="I17" s="68">
        <v>0</v>
      </c>
      <c r="J17" s="68">
        <v>0</v>
      </c>
      <c r="K17" s="52"/>
      <c r="L17" s="53"/>
      <c r="M17" s="68">
        <v>-44</v>
      </c>
      <c r="N17" s="68">
        <v>28</v>
      </c>
      <c r="O17" s="52"/>
      <c r="P17" s="53"/>
      <c r="Q17" s="68">
        <v>181</v>
      </c>
      <c r="R17" s="68">
        <v>0</v>
      </c>
      <c r="S17" s="68">
        <v>0</v>
      </c>
      <c r="T17" s="52"/>
      <c r="U17" s="53"/>
      <c r="V17" s="68">
        <v>11874</v>
      </c>
      <c r="W17" s="68">
        <v>2558</v>
      </c>
      <c r="X17" s="52"/>
      <c r="Y17" s="53"/>
      <c r="Z17" s="56">
        <v>0</v>
      </c>
      <c r="AA17" s="56">
        <v>0</v>
      </c>
      <c r="AB17" s="52"/>
      <c r="AC17" s="53"/>
      <c r="AD17" s="68">
        <v>0</v>
      </c>
      <c r="AE17" s="68">
        <v>0</v>
      </c>
      <c r="AF17" s="52"/>
      <c r="AG17" s="53"/>
      <c r="AH17" s="68">
        <v>2199</v>
      </c>
      <c r="AI17" s="68">
        <v>2162</v>
      </c>
      <c r="AJ17" s="52"/>
      <c r="AK17" s="53"/>
      <c r="AL17" s="56">
        <v>0</v>
      </c>
      <c r="AM17" s="56">
        <v>0</v>
      </c>
      <c r="AN17" s="52"/>
      <c r="AO17" s="53"/>
      <c r="AP17" s="68">
        <v>0</v>
      </c>
      <c r="AQ17" s="68">
        <v>0</v>
      </c>
      <c r="AR17" s="52"/>
      <c r="AS17" s="53"/>
      <c r="AT17" s="56">
        <v>1341.4680000000001</v>
      </c>
      <c r="AU17" s="68">
        <v>548.48</v>
      </c>
      <c r="AV17" s="52"/>
      <c r="AW17" s="53"/>
      <c r="AX17" s="68">
        <v>367</v>
      </c>
      <c r="AY17" s="68">
        <v>278</v>
      </c>
      <c r="AZ17" s="52"/>
      <c r="BA17" s="53"/>
      <c r="BB17" s="68">
        <v>0</v>
      </c>
      <c r="BC17" s="68"/>
      <c r="BD17" s="52"/>
      <c r="BE17" s="53"/>
      <c r="BF17" s="68"/>
      <c r="BG17" s="68"/>
      <c r="BH17" s="52"/>
      <c r="BI17" s="53"/>
      <c r="BJ17" s="56">
        <v>0</v>
      </c>
      <c r="BK17" s="68">
        <v>0</v>
      </c>
      <c r="BL17" s="52"/>
      <c r="BM17" s="53"/>
      <c r="BN17" s="68">
        <v>65.635999999999996</v>
      </c>
      <c r="BO17" s="68">
        <v>130.506</v>
      </c>
      <c r="BP17" s="52"/>
      <c r="BQ17" s="53"/>
      <c r="BR17" s="68">
        <v>0</v>
      </c>
      <c r="BS17" s="68">
        <v>0</v>
      </c>
      <c r="BT17" s="52"/>
      <c r="BU17" s="53"/>
      <c r="BV17" s="68">
        <v>0.64300000000000002</v>
      </c>
      <c r="BW17" s="68">
        <v>0</v>
      </c>
      <c r="BX17" s="52"/>
      <c r="BY17" s="53"/>
      <c r="BZ17" s="68">
        <v>909</v>
      </c>
      <c r="CA17" s="68">
        <v>1054</v>
      </c>
      <c r="CB17" s="52"/>
      <c r="CC17" s="53"/>
      <c r="CD17" s="68">
        <v>3094.97</v>
      </c>
      <c r="CE17" s="68">
        <v>4480.6469999999999</v>
      </c>
      <c r="CF17" s="52"/>
      <c r="CG17" s="53"/>
      <c r="CH17" s="68"/>
      <c r="CI17" s="68"/>
      <c r="CJ17" s="52"/>
      <c r="CK17" s="53"/>
      <c r="CL17" s="68">
        <v>2416</v>
      </c>
      <c r="CM17" s="68">
        <v>483</v>
      </c>
      <c r="CN17" s="52"/>
      <c r="CO17" s="53"/>
      <c r="CP17" s="68">
        <v>67.587000000000003</v>
      </c>
      <c r="CQ17" s="68">
        <v>67.111999999999995</v>
      </c>
      <c r="CR17" s="52"/>
      <c r="CS17" s="53"/>
      <c r="CT17" s="68">
        <v>4637</v>
      </c>
      <c r="CU17" s="68">
        <v>1142</v>
      </c>
      <c r="CV17" s="52"/>
      <c r="CW17" s="53"/>
      <c r="CX17" s="68">
        <v>0</v>
      </c>
      <c r="CY17" s="68">
        <v>0</v>
      </c>
      <c r="CZ17" s="52"/>
      <c r="DA17" s="53"/>
      <c r="DB17" s="68"/>
      <c r="DC17" s="68"/>
      <c r="DD17" s="52"/>
      <c r="DE17" s="53"/>
      <c r="DF17" s="68">
        <v>10.68</v>
      </c>
      <c r="DG17" s="68">
        <v>28.702999999999999</v>
      </c>
      <c r="DH17" s="52"/>
      <c r="DI17" s="53"/>
      <c r="DJ17" s="205">
        <v>0</v>
      </c>
      <c r="DK17" s="68"/>
      <c r="DL17" s="205"/>
      <c r="DM17" s="205">
        <v>0</v>
      </c>
      <c r="DN17" s="68">
        <v>0</v>
      </c>
      <c r="DO17" s="52"/>
      <c r="DP17" s="53"/>
      <c r="DQ17" s="205">
        <v>0</v>
      </c>
      <c r="DR17" s="68">
        <v>0</v>
      </c>
      <c r="DS17" s="52"/>
      <c r="DT17" s="53"/>
      <c r="DU17" s="68">
        <f>1310.313-168.038</f>
        <v>1142.2750000000001</v>
      </c>
      <c r="DV17" s="68">
        <f>576.356-91.019</f>
        <v>485.33699999999999</v>
      </c>
    </row>
    <row r="18" spans="1:126" ht="12.75" customHeight="1" x14ac:dyDescent="0.2">
      <c r="A18" s="58"/>
      <c r="B18" s="59" t="s">
        <v>128</v>
      </c>
      <c r="C18" s="63"/>
      <c r="D18" s="64"/>
      <c r="E18" s="61">
        <f>E19-E16-E17</f>
        <v>1068.4150000000002</v>
      </c>
      <c r="F18" s="61"/>
      <c r="G18" s="63"/>
      <c r="H18" s="64"/>
      <c r="I18" s="61">
        <f>I19-I16-I17</f>
        <v>15071.642</v>
      </c>
      <c r="J18" s="61">
        <f>J19-J16-J17</f>
        <v>15081.127</v>
      </c>
      <c r="K18" s="63"/>
      <c r="L18" s="64"/>
      <c r="M18" s="61">
        <f>M19-M16-M17</f>
        <v>20073</v>
      </c>
      <c r="N18" s="61">
        <f>N19-N16-N17</f>
        <v>17148</v>
      </c>
      <c r="O18" s="63"/>
      <c r="P18" s="64"/>
      <c r="Q18" s="61">
        <f>Q19-Q16-Q17</f>
        <v>348</v>
      </c>
      <c r="R18" s="61">
        <f>R19-R16-R17</f>
        <v>663.596</v>
      </c>
      <c r="S18" s="61">
        <f>S19-S16-S17</f>
        <v>1181.6410000000001</v>
      </c>
      <c r="T18" s="63"/>
      <c r="U18" s="64"/>
      <c r="V18" s="61">
        <f>V19-V16-V17</f>
        <v>3828</v>
      </c>
      <c r="W18" s="61">
        <f>W19-W16-W17</f>
        <v>1665</v>
      </c>
      <c r="X18" s="63"/>
      <c r="Y18" s="64"/>
      <c r="Z18" s="61">
        <f>Z19-Z16-Z17</f>
        <v>143.124</v>
      </c>
      <c r="AA18" s="61">
        <f>AA19-AA16-AA17</f>
        <v>218.672</v>
      </c>
      <c r="AB18" s="63"/>
      <c r="AC18" s="64"/>
      <c r="AD18" s="61">
        <f>AD19-AD16-AD17</f>
        <v>4779.5120000000015</v>
      </c>
      <c r="AE18" s="61">
        <f>AE19-AE16-AE17</f>
        <v>3107.0489999999991</v>
      </c>
      <c r="AF18" s="63"/>
      <c r="AG18" s="64"/>
      <c r="AH18" s="61">
        <f>23764+174+1720+49+97+5737</f>
        <v>31541</v>
      </c>
      <c r="AI18" s="61">
        <f>21357+180+2190+52+36+5006</f>
        <v>28821</v>
      </c>
      <c r="AJ18" s="63"/>
      <c r="AK18" s="8"/>
      <c r="AL18" s="56">
        <v>0</v>
      </c>
      <c r="AM18" s="56">
        <v>0</v>
      </c>
      <c r="AN18" s="63"/>
      <c r="AO18" s="64"/>
      <c r="AP18" s="61">
        <f>AP19-AP16-AP17</f>
        <v>1196.5639999999999</v>
      </c>
      <c r="AQ18" s="61">
        <f>AQ19-AQ16-AQ17</f>
        <v>321.54900000000004</v>
      </c>
      <c r="AR18" s="63"/>
      <c r="AS18" s="64"/>
      <c r="AT18" s="61">
        <f>AT19-AT17-AT16</f>
        <v>20038.062000000002</v>
      </c>
      <c r="AU18" s="61">
        <f>AU19-AU17-AU16</f>
        <v>9078.2950000000019</v>
      </c>
      <c r="AV18" s="63"/>
      <c r="AW18" s="64"/>
      <c r="AX18" s="61">
        <f>AX19-AX16-AX17</f>
        <v>33815</v>
      </c>
      <c r="AY18" s="61">
        <f>AY19-AY16-AY17</f>
        <v>33418</v>
      </c>
      <c r="AZ18" s="63"/>
      <c r="BA18" s="64"/>
      <c r="BB18" s="61">
        <f>BB19-BB16-BB17</f>
        <v>161.18700000000001</v>
      </c>
      <c r="BC18" s="61"/>
      <c r="BD18" s="63"/>
      <c r="BE18" s="64"/>
      <c r="BF18" s="61"/>
      <c r="BG18" s="61"/>
      <c r="BH18" s="63"/>
      <c r="BI18" s="64"/>
      <c r="BJ18" s="61">
        <f>BJ19-BJ16-BJ17</f>
        <v>71.090000000000032</v>
      </c>
      <c r="BK18" s="61">
        <f>BK19-BK16-BK17</f>
        <v>45.441000000000031</v>
      </c>
      <c r="BL18" s="63"/>
      <c r="BM18" s="64"/>
      <c r="BN18" s="61">
        <f>BN19-BN16-BN17</f>
        <v>656.99700000000007</v>
      </c>
      <c r="BO18" s="61">
        <f>BO19-BO16-BO17</f>
        <v>338.78499999999997</v>
      </c>
      <c r="BP18" s="63"/>
      <c r="BQ18" s="64"/>
      <c r="BR18" s="61">
        <f>BR19-BR16-BR17</f>
        <v>3240.3259999999996</v>
      </c>
      <c r="BS18" s="61">
        <f>BS19-BS16-BS17</f>
        <v>2749.1530000000002</v>
      </c>
      <c r="BT18" s="63"/>
      <c r="BU18" s="64"/>
      <c r="BV18" s="61">
        <f>BV19-BV16-BV17</f>
        <v>1353.357</v>
      </c>
      <c r="BW18" s="61">
        <f>BW19-BW16-BW17</f>
        <v>1252.99</v>
      </c>
      <c r="BX18" s="63"/>
      <c r="BY18" s="64"/>
      <c r="BZ18" s="61">
        <f>BZ19-BZ16-BZ17</f>
        <v>6952</v>
      </c>
      <c r="CA18" s="61">
        <f>CA19-CA16-CA17</f>
        <v>6922</v>
      </c>
      <c r="CB18" s="63"/>
      <c r="CC18" s="64"/>
      <c r="CD18" s="61">
        <f>CD19-CD16-CD17</f>
        <v>35617.013999999988</v>
      </c>
      <c r="CE18" s="61">
        <f>CE19-CE16-CE17</f>
        <v>32166.932999999994</v>
      </c>
      <c r="CF18" s="63"/>
      <c r="CG18" s="64"/>
      <c r="CH18" s="61"/>
      <c r="CI18" s="61"/>
      <c r="CJ18" s="63"/>
      <c r="CK18" s="64"/>
      <c r="CL18" s="61">
        <f>CL19-CL16-CL17</f>
        <v>87179</v>
      </c>
      <c r="CM18" s="61">
        <f>CM19-CM16-CM17</f>
        <v>75150</v>
      </c>
      <c r="CN18" s="63"/>
      <c r="CO18" s="64"/>
      <c r="CP18" s="61">
        <f>CP19-CP16-CP17</f>
        <v>1089.8910000000001</v>
      </c>
      <c r="CQ18" s="61">
        <f>CQ19-CQ16-CQ17</f>
        <v>1036.644</v>
      </c>
      <c r="CR18" s="63"/>
      <c r="CS18" s="64"/>
      <c r="CT18" s="61">
        <f>CT19-CT16-CT17</f>
        <v>22560</v>
      </c>
      <c r="CU18" s="61">
        <f>CU19-CU16-CU17</f>
        <v>21576</v>
      </c>
      <c r="CV18" s="63"/>
      <c r="CW18" s="64"/>
      <c r="CX18" s="61">
        <f>CX19-CX16-CX17</f>
        <v>2153</v>
      </c>
      <c r="CY18" s="61">
        <f>CY19-CY16-CY17</f>
        <v>1894</v>
      </c>
      <c r="CZ18" s="63"/>
      <c r="DA18" s="64"/>
      <c r="DB18" s="61"/>
      <c r="DC18" s="61"/>
      <c r="DD18" s="63"/>
      <c r="DE18" s="64"/>
      <c r="DF18" s="61">
        <f>DF19-DF16-DF17</f>
        <v>11600.363999999998</v>
      </c>
      <c r="DG18" s="61">
        <f>DG19-DG16-DG17</f>
        <v>10497.612999999999</v>
      </c>
      <c r="DH18" s="63"/>
      <c r="DI18" s="64"/>
      <c r="DJ18" s="61">
        <f>DJ19-DJ16-DJ17</f>
        <v>75943</v>
      </c>
      <c r="DK18" s="61">
        <f>DK19-DK16-DK17</f>
        <v>56158</v>
      </c>
      <c r="DL18" s="61"/>
      <c r="DM18" s="61">
        <v>0</v>
      </c>
      <c r="DN18" s="61">
        <v>0</v>
      </c>
      <c r="DO18" s="63"/>
      <c r="DP18" s="64"/>
      <c r="DQ18" s="61">
        <f>DQ19</f>
        <v>2938.6819999999998</v>
      </c>
      <c r="DR18" s="61">
        <f>DR19</f>
        <v>1742.982</v>
      </c>
      <c r="DS18" s="63"/>
      <c r="DT18" s="64"/>
      <c r="DU18" s="61">
        <f>DU19-DU16-DU17</f>
        <v>35180.417000000001</v>
      </c>
      <c r="DV18" s="61">
        <f>DV19-DV16-DV17</f>
        <v>31918.448</v>
      </c>
    </row>
    <row r="19" spans="1:126" ht="12.75" customHeight="1" x14ac:dyDescent="0.2">
      <c r="A19" s="69" t="s">
        <v>129</v>
      </c>
      <c r="B19" s="33"/>
      <c r="C19" s="52"/>
      <c r="D19" s="53"/>
      <c r="E19" s="56">
        <f>1659.009-E8</f>
        <v>1143.5920000000001</v>
      </c>
      <c r="F19" s="56"/>
      <c r="G19" s="52"/>
      <c r="H19" s="53"/>
      <c r="I19" s="56">
        <f>15076.581-4.939-I8</f>
        <v>15071.642</v>
      </c>
      <c r="J19" s="56">
        <f>15084.597-3.47-J8</f>
        <v>15081.127</v>
      </c>
      <c r="K19" s="52"/>
      <c r="L19" s="53"/>
      <c r="M19" s="56">
        <f>45576-8605-M8</f>
        <v>20252</v>
      </c>
      <c r="N19" s="56">
        <f>49867-15801-N8</f>
        <v>17360</v>
      </c>
      <c r="O19" s="52"/>
      <c r="P19" s="53"/>
      <c r="Q19" s="56">
        <v>745</v>
      </c>
      <c r="R19" s="56">
        <f>733.925</f>
        <v>733.92499999999995</v>
      </c>
      <c r="S19" s="56">
        <f>1281.641</f>
        <v>1281.6410000000001</v>
      </c>
      <c r="T19" s="52"/>
      <c r="U19" s="53"/>
      <c r="V19" s="56">
        <v>19276</v>
      </c>
      <c r="W19" s="56">
        <v>9011</v>
      </c>
      <c r="X19" s="52"/>
      <c r="Y19" s="53"/>
      <c r="Z19" s="56">
        <v>143.124</v>
      </c>
      <c r="AA19" s="56">
        <v>218.672</v>
      </c>
      <c r="AB19" s="52"/>
      <c r="AC19" s="53"/>
      <c r="AD19" s="56">
        <f>10729.29-AD8</f>
        <v>6733.7930000000015</v>
      </c>
      <c r="AE19" s="56">
        <f>8433.07-AE8</f>
        <v>5707.0489999999991</v>
      </c>
      <c r="AF19" s="52"/>
      <c r="AG19" s="53"/>
      <c r="AH19" s="56">
        <f>SUM(AH16:AH18)</f>
        <v>32014</v>
      </c>
      <c r="AI19" s="56">
        <f>SUM(AI16:AI18)</f>
        <v>34765</v>
      </c>
      <c r="AJ19" s="52"/>
      <c r="AK19" s="53"/>
      <c r="AL19" s="56">
        <v>0</v>
      </c>
      <c r="AM19" s="56">
        <v>0</v>
      </c>
      <c r="AN19" s="52"/>
      <c r="AO19" s="53"/>
      <c r="AP19" s="56">
        <f>3032.571-AP8</f>
        <v>1353.0639999999999</v>
      </c>
      <c r="AQ19" s="56">
        <f>714.095-AQ8</f>
        <v>346.54900000000004</v>
      </c>
      <c r="AR19" s="52"/>
      <c r="AS19" s="53"/>
      <c r="AT19" s="56">
        <f>31455.946-AT8</f>
        <v>23523.417000000001</v>
      </c>
      <c r="AU19" s="56">
        <f>15743.968-AU8</f>
        <v>10707.621000000001</v>
      </c>
      <c r="AV19" s="52"/>
      <c r="AW19" s="53"/>
      <c r="AX19" s="56">
        <f>34182</f>
        <v>34182</v>
      </c>
      <c r="AY19" s="56">
        <v>34146</v>
      </c>
      <c r="AZ19" s="52"/>
      <c r="BA19" s="53"/>
      <c r="BB19" s="56">
        <f>170.329-BB8</f>
        <v>161.18700000000001</v>
      </c>
      <c r="BC19" s="56"/>
      <c r="BD19" s="52"/>
      <c r="BE19" s="53"/>
      <c r="BF19" s="56"/>
      <c r="BG19" s="56"/>
      <c r="BH19" s="52"/>
      <c r="BI19" s="53"/>
      <c r="BJ19" s="56">
        <f>1087.584-BJ8</f>
        <v>71.090000000000032</v>
      </c>
      <c r="BK19" s="56">
        <f>605.763-BK8</f>
        <v>45.441000000000031</v>
      </c>
      <c r="BL19" s="52"/>
      <c r="BM19" s="53"/>
      <c r="BN19" s="56">
        <f>618.985</f>
        <v>618.98500000000001</v>
      </c>
      <c r="BO19" s="56">
        <v>493.291</v>
      </c>
      <c r="BP19" s="52"/>
      <c r="BQ19" s="53"/>
      <c r="BR19" s="56">
        <f>5926.166-1752.819-BR8</f>
        <v>3180.8149999999996</v>
      </c>
      <c r="BS19" s="56">
        <f>5322.935-1508.087-BS8</f>
        <v>2846.6600000000003</v>
      </c>
      <c r="BT19" s="52"/>
      <c r="BU19" s="53"/>
      <c r="BV19" s="56">
        <f>2953-BV8</f>
        <v>1360</v>
      </c>
      <c r="BW19" s="56">
        <f>2601-BW8</f>
        <v>1275</v>
      </c>
      <c r="BX19" s="52"/>
      <c r="BY19" s="53"/>
      <c r="BZ19" s="56">
        <f>909+299+6653</f>
        <v>7861</v>
      </c>
      <c r="CA19" s="56">
        <f>1054+564+6358</f>
        <v>7976</v>
      </c>
      <c r="CB19" s="52"/>
      <c r="CC19" s="53"/>
      <c r="CD19" s="56">
        <f>90007.563-CD8</f>
        <v>40185.224999999991</v>
      </c>
      <c r="CE19" s="56">
        <f>80997.632-CE8</f>
        <v>37390.928999999996</v>
      </c>
      <c r="CF19" s="52"/>
      <c r="CG19" s="53"/>
      <c r="CH19" s="56"/>
      <c r="CI19" s="56"/>
      <c r="CJ19" s="52"/>
      <c r="CK19" s="53"/>
      <c r="CL19" s="56">
        <f>2416+1525+85654</f>
        <v>89595</v>
      </c>
      <c r="CM19" s="56">
        <f>483+1330+73820</f>
        <v>75633</v>
      </c>
      <c r="CN19" s="52"/>
      <c r="CO19" s="53"/>
      <c r="CP19" s="56">
        <f>3423.103-CP8</f>
        <v>1190.1610000000001</v>
      </c>
      <c r="CQ19" s="56">
        <f>3293.732-CQ8</f>
        <v>1137.3620000000001</v>
      </c>
      <c r="CR19" s="52"/>
      <c r="CS19" s="53"/>
      <c r="CT19" s="56">
        <f>44261-CT8</f>
        <v>28102</v>
      </c>
      <c r="CU19" s="56">
        <f>34733-CU8</f>
        <v>22675</v>
      </c>
      <c r="CV19" s="52"/>
      <c r="CW19" s="53"/>
      <c r="CX19" s="56">
        <f>7423-CX8</f>
        <v>2153</v>
      </c>
      <c r="CY19" s="56">
        <f>5415-CY8</f>
        <v>1894</v>
      </c>
      <c r="CZ19" s="52"/>
      <c r="DA19" s="53"/>
      <c r="DB19" s="56"/>
      <c r="DC19" s="56"/>
      <c r="DD19" s="52"/>
      <c r="DE19" s="53"/>
      <c r="DF19" s="56">
        <f>30499.46-DF8</f>
        <v>12151.010999999999</v>
      </c>
      <c r="DG19" s="56">
        <f>25063.101-DG8</f>
        <v>10752.543999999998</v>
      </c>
      <c r="DH19" s="52"/>
      <c r="DI19" s="53"/>
      <c r="DJ19" s="56">
        <v>75943</v>
      </c>
      <c r="DK19" s="56">
        <v>56158</v>
      </c>
      <c r="DL19" s="56"/>
      <c r="DM19" s="56">
        <v>927</v>
      </c>
      <c r="DN19" s="56">
        <v>-15602</v>
      </c>
      <c r="DO19" s="52"/>
      <c r="DP19" s="53"/>
      <c r="DQ19" s="56">
        <f>3307.421-DQ8</f>
        <v>2938.6819999999998</v>
      </c>
      <c r="DR19" s="56">
        <f>1959.206-DR8</f>
        <v>1742.982</v>
      </c>
      <c r="DS19" s="52"/>
      <c r="DT19" s="53"/>
      <c r="DU19" s="56">
        <f>10107.221+2080.975+25073.196</f>
        <v>37261.392</v>
      </c>
      <c r="DV19" s="56">
        <f>8430.747+1586.999+23487.701</f>
        <v>33505.447</v>
      </c>
    </row>
    <row r="20" spans="1:126" ht="12.75" customHeight="1" x14ac:dyDescent="0.2">
      <c r="A20" s="69"/>
      <c r="B20" s="33"/>
      <c r="C20" s="52"/>
      <c r="D20" s="53"/>
      <c r="E20" s="51"/>
      <c r="F20" s="51"/>
      <c r="G20" s="52"/>
      <c r="H20" s="53"/>
      <c r="I20" s="51"/>
      <c r="J20" s="51"/>
      <c r="K20" s="52"/>
      <c r="L20" s="53"/>
      <c r="M20" s="51"/>
      <c r="N20" s="51"/>
      <c r="O20" s="52"/>
      <c r="P20" s="53"/>
      <c r="Q20" s="51"/>
      <c r="R20" s="51"/>
      <c r="S20" s="51"/>
      <c r="T20" s="52"/>
      <c r="U20" s="53"/>
      <c r="V20" s="51"/>
      <c r="W20" s="51"/>
      <c r="X20" s="52"/>
      <c r="Y20" s="53"/>
      <c r="Z20" s="51"/>
      <c r="AA20" s="51"/>
      <c r="AB20" s="52"/>
      <c r="AC20" s="53"/>
      <c r="AD20" s="51"/>
      <c r="AE20" s="51"/>
      <c r="AF20" s="52"/>
      <c r="AG20" s="53"/>
      <c r="AH20" s="51"/>
      <c r="AI20" s="51"/>
      <c r="AJ20" s="52"/>
      <c r="AK20" s="53"/>
      <c r="AL20" s="51"/>
      <c r="AM20" s="51"/>
      <c r="AN20" s="52"/>
      <c r="AO20" s="53"/>
      <c r="AP20" s="51"/>
      <c r="AQ20" s="51"/>
      <c r="AR20" s="52"/>
      <c r="AS20" s="53"/>
      <c r="AT20" s="51"/>
      <c r="AU20" s="51"/>
      <c r="AV20" s="52"/>
      <c r="AW20" s="53"/>
      <c r="AX20" s="51"/>
      <c r="AY20" s="51"/>
      <c r="AZ20" s="52"/>
      <c r="BA20" s="53"/>
      <c r="BB20" s="51"/>
      <c r="BC20" s="51"/>
      <c r="BD20" s="52"/>
      <c r="BE20" s="53"/>
      <c r="BF20" s="51"/>
      <c r="BG20" s="51"/>
      <c r="BH20" s="52"/>
      <c r="BI20" s="53"/>
      <c r="BJ20" s="51"/>
      <c r="BK20" s="51"/>
      <c r="BL20" s="52"/>
      <c r="BM20" s="53"/>
      <c r="BN20" s="51"/>
      <c r="BO20" s="51"/>
      <c r="BP20" s="52"/>
      <c r="BQ20" s="53"/>
      <c r="BR20" s="51"/>
      <c r="BS20" s="51"/>
      <c r="BT20" s="52"/>
      <c r="BU20" s="53"/>
      <c r="BV20" s="51"/>
      <c r="BW20" s="51"/>
      <c r="BX20" s="52"/>
      <c r="BY20" s="53"/>
      <c r="BZ20" s="51"/>
      <c r="CA20" s="51"/>
      <c r="CB20" s="52"/>
      <c r="CC20" s="53"/>
      <c r="CD20" s="51"/>
      <c r="CE20" s="51"/>
      <c r="CF20" s="52"/>
      <c r="CG20" s="53"/>
      <c r="CH20" s="51"/>
      <c r="CI20" s="51"/>
      <c r="CJ20" s="52"/>
      <c r="CK20" s="53"/>
      <c r="CL20" s="51"/>
      <c r="CM20" s="51"/>
      <c r="CN20" s="52"/>
      <c r="CO20" s="53"/>
      <c r="CP20" s="51"/>
      <c r="CQ20" s="51"/>
      <c r="CR20" s="52"/>
      <c r="CS20" s="53"/>
      <c r="CT20" s="51"/>
      <c r="CU20" s="51"/>
      <c r="CV20" s="52"/>
      <c r="CW20" s="53"/>
      <c r="CX20" s="51"/>
      <c r="CY20" s="51"/>
      <c r="CZ20" s="52"/>
      <c r="DA20" s="53"/>
      <c r="DB20" s="51"/>
      <c r="DC20" s="51"/>
      <c r="DD20" s="52"/>
      <c r="DE20" s="53"/>
      <c r="DF20" s="51"/>
      <c r="DG20" s="51"/>
      <c r="DH20" s="52"/>
      <c r="DI20" s="53"/>
      <c r="DJ20" s="51"/>
      <c r="DK20" s="51"/>
      <c r="DL20" s="51"/>
      <c r="DM20" s="51"/>
      <c r="DN20" s="51"/>
      <c r="DO20" s="52"/>
      <c r="DP20" s="53"/>
      <c r="DQ20" s="51"/>
      <c r="DR20" s="51"/>
      <c r="DS20" s="52"/>
      <c r="DT20" s="53"/>
      <c r="DU20" s="51"/>
      <c r="DV20" s="51"/>
    </row>
    <row r="21" spans="1:126" ht="12.75" customHeight="1" x14ac:dyDescent="0.2">
      <c r="A21" s="69"/>
      <c r="B21" s="33" t="s">
        <v>130</v>
      </c>
      <c r="C21" s="52"/>
      <c r="D21" s="53"/>
      <c r="E21" s="51">
        <f>E9+E14-E19</f>
        <v>-1007.8240000000001</v>
      </c>
      <c r="F21" s="51"/>
      <c r="G21" s="52"/>
      <c r="H21" s="53"/>
      <c r="I21" s="51">
        <f>I9+I14-I19</f>
        <v>4.9390000000003056</v>
      </c>
      <c r="J21" s="51">
        <f>J9+J14-J19</f>
        <v>3.4699999999993452</v>
      </c>
      <c r="K21" s="52"/>
      <c r="L21" s="53"/>
      <c r="M21" s="51">
        <f>M9+M14-M19</f>
        <v>8605</v>
      </c>
      <c r="N21" s="51">
        <f>N9+N14-N19</f>
        <v>15801</v>
      </c>
      <c r="O21" s="52"/>
      <c r="P21" s="53"/>
      <c r="Q21" s="51">
        <f>Q9+Q14-Q19</f>
        <v>-178.82300000000009</v>
      </c>
      <c r="R21" s="51">
        <f>R9+R14-R19</f>
        <v>522.82200000000012</v>
      </c>
      <c r="S21" s="51">
        <f>S9+S14-S19</f>
        <v>1001.4879999999998</v>
      </c>
      <c r="T21" s="52"/>
      <c r="U21" s="53"/>
      <c r="V21" s="51">
        <f>V9+V14-V19</f>
        <v>8713</v>
      </c>
      <c r="W21" s="51">
        <f>W9+W14-W19</f>
        <v>5944</v>
      </c>
      <c r="X21" s="52"/>
      <c r="Y21" s="53"/>
      <c r="Z21" s="51">
        <f>Z9+Z14-Z19</f>
        <v>2436.7750000000001</v>
      </c>
      <c r="AA21" s="51">
        <f>AA9+AA14-AA19</f>
        <v>2052.2029999999995</v>
      </c>
      <c r="AB21" s="52"/>
      <c r="AC21" s="53"/>
      <c r="AD21" s="51">
        <f>AD9+AD14-AD19</f>
        <v>1246.4399999999987</v>
      </c>
      <c r="AE21" s="51">
        <f>AE9+AE14-AE19</f>
        <v>1467.2700000000004</v>
      </c>
      <c r="AF21" s="52"/>
      <c r="AG21" s="53"/>
      <c r="AH21" s="51">
        <f>AH9+AH14-AH19</f>
        <v>8730</v>
      </c>
      <c r="AI21" s="51">
        <f>AI9+AI14-AI19</f>
        <v>5608</v>
      </c>
      <c r="AJ21" s="52"/>
      <c r="AK21" s="53"/>
      <c r="AL21" s="51">
        <v>0</v>
      </c>
      <c r="AM21" s="51">
        <v>0</v>
      </c>
      <c r="AN21" s="52"/>
      <c r="AO21" s="53"/>
      <c r="AP21" s="51">
        <f>AP9+AP14-AP19</f>
        <v>675.63100000000031</v>
      </c>
      <c r="AQ21" s="51">
        <f>AQ9+AQ14-AQ19</f>
        <v>269.41599999999988</v>
      </c>
      <c r="AR21" s="52"/>
      <c r="AS21" s="53"/>
      <c r="AT21" s="51">
        <f>AT9+AT14-AT19</f>
        <v>14141.699000000001</v>
      </c>
      <c r="AU21" s="51">
        <f>AU9+AU14-AU19</f>
        <v>5799.9509999999991</v>
      </c>
      <c r="AV21" s="52"/>
      <c r="AW21" s="53"/>
      <c r="AX21" s="51">
        <f>AX9+AX14-AX19</f>
        <v>10789</v>
      </c>
      <c r="AY21" s="51">
        <f>AY9+AY14-AY19</f>
        <v>10031</v>
      </c>
      <c r="AZ21" s="52"/>
      <c r="BA21" s="53"/>
      <c r="BB21" s="51">
        <f>BB9+BB14-BB19</f>
        <v>-10.900000000000006</v>
      </c>
      <c r="BC21" s="51"/>
      <c r="BD21" s="52"/>
      <c r="BE21" s="53"/>
      <c r="BF21" s="51"/>
      <c r="BG21" s="51"/>
      <c r="BH21" s="52"/>
      <c r="BI21" s="53"/>
      <c r="BJ21" s="51">
        <f>BJ9+BJ14-BJ19</f>
        <v>20.909999999999854</v>
      </c>
      <c r="BK21" s="51">
        <f>BK9+BK14-BK19</f>
        <v>6.0069999999999482</v>
      </c>
      <c r="BL21" s="52"/>
      <c r="BM21" s="53"/>
      <c r="BN21" s="51">
        <f>BN9+BN14-BN19</f>
        <v>-19.709999999999923</v>
      </c>
      <c r="BO21" s="51">
        <f>BO9+BO14-BO19</f>
        <v>51.7229999999999</v>
      </c>
      <c r="BP21" s="52"/>
      <c r="BQ21" s="53"/>
      <c r="BR21" s="51">
        <f>BR9+BR14-BR19</f>
        <v>1752.8190000000004</v>
      </c>
      <c r="BS21" s="51">
        <f>BS9+BS14-BS19</f>
        <v>1508.087</v>
      </c>
      <c r="BT21" s="52"/>
      <c r="BU21" s="53"/>
      <c r="BV21" s="51">
        <f>BV9+BV14-BV19</f>
        <v>53</v>
      </c>
      <c r="BW21" s="51">
        <f>BW9+BW14-BW19</f>
        <v>147</v>
      </c>
      <c r="BX21" s="52"/>
      <c r="BY21" s="53"/>
      <c r="BZ21" s="51">
        <f>BZ9+BZ14-BZ19</f>
        <v>5191</v>
      </c>
      <c r="CA21" s="51">
        <f>CA9+CA14-CA19</f>
        <v>4093</v>
      </c>
      <c r="CB21" s="52"/>
      <c r="CC21" s="53"/>
      <c r="CD21" s="51">
        <f>CD9+CD14-CD19</f>
        <v>24592.531000000003</v>
      </c>
      <c r="CE21" s="51">
        <f>CE9+CE14-CE19</f>
        <v>15422.513000000006</v>
      </c>
      <c r="CF21" s="52"/>
      <c r="CG21" s="53"/>
      <c r="CH21" s="51"/>
      <c r="CI21" s="51"/>
      <c r="CJ21" s="52"/>
      <c r="CK21" s="53"/>
      <c r="CL21" s="51">
        <f>CL9+CL14-CL19</f>
        <v>18340</v>
      </c>
      <c r="CM21" s="51">
        <f>CM9+CM14-CM19</f>
        <v>16449</v>
      </c>
      <c r="CN21" s="52"/>
      <c r="CO21" s="53"/>
      <c r="CP21" s="51">
        <f>CP9+CP14-CP19</f>
        <v>1246.6139999999996</v>
      </c>
      <c r="CQ21" s="51">
        <f>CQ9+CQ14-CQ19</f>
        <v>1201.9840000000004</v>
      </c>
      <c r="CR21" s="52"/>
      <c r="CS21" s="53"/>
      <c r="CT21" s="51">
        <f>CT9+CT14-CT19</f>
        <v>-1831</v>
      </c>
      <c r="CU21" s="51">
        <f>CU9+CU14-CU19</f>
        <v>1568</v>
      </c>
      <c r="CV21" s="52"/>
      <c r="CW21" s="53"/>
      <c r="CX21" s="51">
        <f>CX9+CX14-CX19</f>
        <v>4553</v>
      </c>
      <c r="CY21" s="51">
        <f>CY9+CY14-CY19</f>
        <v>3302</v>
      </c>
      <c r="CZ21" s="52"/>
      <c r="DA21" s="53"/>
      <c r="DB21" s="51"/>
      <c r="DC21" s="51"/>
      <c r="DD21" s="52"/>
      <c r="DE21" s="53"/>
      <c r="DF21" s="51">
        <f>DF9+DF14-DF19</f>
        <v>28466.082000000002</v>
      </c>
      <c r="DG21" s="51">
        <f>DG9+DG14-DG19</f>
        <v>23256.644000000004</v>
      </c>
      <c r="DH21" s="52"/>
      <c r="DI21" s="53"/>
      <c r="DJ21" s="51">
        <f>DJ9+DJ14-DJ19</f>
        <v>47956</v>
      </c>
      <c r="DK21" s="51">
        <f>DK9+DK14-DK19</f>
        <v>22709</v>
      </c>
      <c r="DL21" s="51"/>
      <c r="DM21" s="51">
        <f>DM9+DM14-DM19</f>
        <v>79756</v>
      </c>
      <c r="DN21" s="51">
        <f>DN9+DN14-DN19</f>
        <v>32903</v>
      </c>
      <c r="DO21" s="52"/>
      <c r="DP21" s="53"/>
      <c r="DQ21" s="51">
        <f>DQ9+DQ14-DQ19</f>
        <v>132.35600000000068</v>
      </c>
      <c r="DR21" s="51">
        <f>DR9+DR14-DR19</f>
        <v>82.160000000000082</v>
      </c>
      <c r="DS21" s="52"/>
      <c r="DT21" s="53"/>
      <c r="DU21" s="51">
        <f>DU9+DU14-DU19</f>
        <v>9006.4409999999989</v>
      </c>
      <c r="DV21" s="51">
        <f>DV9+DV14-DV19</f>
        <v>8400.0770000000048</v>
      </c>
    </row>
    <row r="22" spans="1:126" ht="12.75" customHeight="1" x14ac:dyDescent="0.2">
      <c r="A22" s="54"/>
      <c r="B22" s="33"/>
      <c r="C22" s="52"/>
      <c r="D22" s="53"/>
      <c r="E22" s="56"/>
      <c r="F22" s="56"/>
      <c r="G22" s="52"/>
      <c r="H22" s="53"/>
      <c r="I22" s="56"/>
      <c r="J22" s="56"/>
      <c r="K22" s="52"/>
      <c r="L22" s="53"/>
      <c r="M22" s="56"/>
      <c r="N22" s="56"/>
      <c r="O22" s="52"/>
      <c r="P22" s="53"/>
      <c r="Q22" s="56"/>
      <c r="R22" s="56"/>
      <c r="S22" s="56"/>
      <c r="T22" s="52"/>
      <c r="U22" s="53"/>
      <c r="V22" s="56"/>
      <c r="W22" s="56"/>
      <c r="X22" s="52"/>
      <c r="Y22" s="53"/>
      <c r="Z22" s="56"/>
      <c r="AA22" s="56"/>
      <c r="AB22" s="52"/>
      <c r="AC22" s="53"/>
      <c r="AD22" s="56"/>
      <c r="AE22" s="56"/>
      <c r="AF22" s="52"/>
      <c r="AG22" s="53"/>
      <c r="AH22" s="56"/>
      <c r="AI22" s="56"/>
      <c r="AJ22" s="52"/>
      <c r="AK22" s="53"/>
      <c r="AL22" s="56"/>
      <c r="AM22" s="56"/>
      <c r="AN22" s="52"/>
      <c r="AO22" s="53"/>
      <c r="AP22" s="56"/>
      <c r="AQ22" s="56"/>
      <c r="AR22" s="52"/>
      <c r="AS22" s="53"/>
      <c r="AT22" s="56"/>
      <c r="AU22" s="56"/>
      <c r="AV22" s="52"/>
      <c r="AW22" s="53"/>
      <c r="AX22" s="56"/>
      <c r="AY22" s="56"/>
      <c r="AZ22" s="52"/>
      <c r="BA22" s="53"/>
      <c r="BB22" s="56"/>
      <c r="BC22" s="56"/>
      <c r="BD22" s="52"/>
      <c r="BE22" s="53"/>
      <c r="BF22" s="56"/>
      <c r="BG22" s="56"/>
      <c r="BH22" s="52"/>
      <c r="BI22" s="53"/>
      <c r="BJ22" s="56"/>
      <c r="BK22" s="56"/>
      <c r="BL22" s="52"/>
      <c r="BM22" s="53"/>
      <c r="BN22" s="56"/>
      <c r="BO22" s="56"/>
      <c r="BP22" s="52"/>
      <c r="BQ22" s="53"/>
      <c r="BR22" s="56"/>
      <c r="BS22" s="56"/>
      <c r="BT22" s="52"/>
      <c r="BU22" s="53"/>
      <c r="BV22" s="56"/>
      <c r="BW22" s="56"/>
      <c r="BX22" s="52"/>
      <c r="BY22" s="53"/>
      <c r="BZ22" s="56"/>
      <c r="CA22" s="56"/>
      <c r="CB22" s="52"/>
      <c r="CC22" s="53"/>
      <c r="CD22" s="56"/>
      <c r="CE22" s="56"/>
      <c r="CF22" s="52"/>
      <c r="CG22" s="53"/>
      <c r="CH22" s="56"/>
      <c r="CI22" s="56"/>
      <c r="CJ22" s="52"/>
      <c r="CK22" s="53"/>
      <c r="CL22" s="56"/>
      <c r="CM22" s="56"/>
      <c r="CN22" s="52"/>
      <c r="CO22" s="53"/>
      <c r="CP22" s="56"/>
      <c r="CQ22" s="56"/>
      <c r="CR22" s="52"/>
      <c r="CS22" s="53"/>
      <c r="CT22" s="56"/>
      <c r="CU22" s="56"/>
      <c r="CV22" s="52"/>
      <c r="CW22" s="53"/>
      <c r="CX22" s="56"/>
      <c r="CY22" s="56"/>
      <c r="CZ22" s="52"/>
      <c r="DA22" s="53"/>
      <c r="DB22" s="56"/>
      <c r="DC22" s="56"/>
      <c r="DD22" s="52"/>
      <c r="DE22" s="53"/>
      <c r="DF22" s="56"/>
      <c r="DG22" s="56"/>
      <c r="DH22" s="52"/>
      <c r="DI22" s="53"/>
      <c r="DJ22" s="56"/>
      <c r="DK22" s="56"/>
      <c r="DL22" s="56"/>
      <c r="DM22" s="56"/>
      <c r="DN22" s="56"/>
      <c r="DO22" s="52"/>
      <c r="DP22" s="53"/>
      <c r="DQ22" s="56"/>
      <c r="DR22" s="56"/>
      <c r="DS22" s="52"/>
      <c r="DT22" s="53"/>
      <c r="DU22" s="56"/>
      <c r="DV22" s="56"/>
    </row>
    <row r="23" spans="1:126" ht="12.75" customHeight="1" x14ac:dyDescent="0.2">
      <c r="A23" s="38"/>
      <c r="B23" s="39" t="s">
        <v>131</v>
      </c>
      <c r="C23" s="46"/>
      <c r="D23" s="47"/>
      <c r="E23" s="43">
        <v>0</v>
      </c>
      <c r="F23" s="43"/>
      <c r="G23" s="46"/>
      <c r="H23" s="47"/>
      <c r="I23" s="43">
        <v>1.742</v>
      </c>
      <c r="J23" s="43">
        <v>-1.145</v>
      </c>
      <c r="K23" s="46"/>
      <c r="L23" s="47"/>
      <c r="M23" s="43">
        <f>2526</f>
        <v>2526</v>
      </c>
      <c r="N23" s="43">
        <f>4672</f>
        <v>4672</v>
      </c>
      <c r="O23" s="46"/>
      <c r="P23" s="47"/>
      <c r="Q23" s="43">
        <v>0</v>
      </c>
      <c r="R23" s="43">
        <v>189.517</v>
      </c>
      <c r="S23" s="43">
        <v>331.77199999999999</v>
      </c>
      <c r="T23" s="46"/>
      <c r="U23" s="47"/>
      <c r="V23" s="43">
        <v>2482</v>
      </c>
      <c r="W23" s="43">
        <v>1962</v>
      </c>
      <c r="X23" s="46"/>
      <c r="Y23" s="47"/>
      <c r="Z23" s="43">
        <v>803.57399999999996</v>
      </c>
      <c r="AA23" s="43">
        <v>677.22699999999998</v>
      </c>
      <c r="AB23" s="46"/>
      <c r="AC23" s="47"/>
      <c r="AD23" s="43">
        <v>303.565</v>
      </c>
      <c r="AE23" s="43">
        <v>342.38900000000001</v>
      </c>
      <c r="AF23" s="46"/>
      <c r="AG23" s="47"/>
      <c r="AH23" s="43">
        <v>2895</v>
      </c>
      <c r="AI23" s="43">
        <v>1685</v>
      </c>
      <c r="AJ23" s="46"/>
      <c r="AK23" s="47"/>
      <c r="AL23" s="43">
        <v>0</v>
      </c>
      <c r="AM23" s="43">
        <v>0</v>
      </c>
      <c r="AN23" s="46"/>
      <c r="AO23" s="47"/>
      <c r="AP23" s="43">
        <v>166.02600000000001</v>
      </c>
      <c r="AQ23" s="43">
        <v>1.1499999999999999</v>
      </c>
      <c r="AR23" s="46"/>
      <c r="AS23" s="47"/>
      <c r="AT23" s="43">
        <v>5351.0990000000002</v>
      </c>
      <c r="AU23" s="43">
        <v>2281.1410000000001</v>
      </c>
      <c r="AV23" s="46"/>
      <c r="AW23" s="47"/>
      <c r="AX23" s="43">
        <f>3214</f>
        <v>3214</v>
      </c>
      <c r="AY23" s="43">
        <v>3098</v>
      </c>
      <c r="AZ23" s="46"/>
      <c r="BA23" s="47"/>
      <c r="BB23" s="43">
        <v>0</v>
      </c>
      <c r="BC23" s="43"/>
      <c r="BD23" s="46"/>
      <c r="BE23" s="47"/>
      <c r="BF23" s="43"/>
      <c r="BG23" s="43"/>
      <c r="BH23" s="46"/>
      <c r="BI23" s="47"/>
      <c r="BJ23" s="43">
        <v>6.9</v>
      </c>
      <c r="BK23" s="43">
        <v>1.982</v>
      </c>
      <c r="BL23" s="46"/>
      <c r="BM23" s="47"/>
      <c r="BN23" s="43">
        <v>34.204000000000001</v>
      </c>
      <c r="BO23" s="43">
        <v>17.373000000000001</v>
      </c>
      <c r="BP23" s="46"/>
      <c r="BQ23" s="47"/>
      <c r="BR23" s="43">
        <v>591.68600000000004</v>
      </c>
      <c r="BS23" s="43">
        <v>497.02300000000002</v>
      </c>
      <c r="BT23" s="46"/>
      <c r="BU23" s="47"/>
      <c r="BV23" s="43">
        <v>9</v>
      </c>
      <c r="BW23" s="43">
        <v>46</v>
      </c>
      <c r="BX23" s="46"/>
      <c r="BY23" s="47"/>
      <c r="BZ23" s="43">
        <f>1344</f>
        <v>1344</v>
      </c>
      <c r="CA23" s="43">
        <v>1231</v>
      </c>
      <c r="CB23" s="46"/>
      <c r="CC23" s="47"/>
      <c r="CD23" s="43">
        <v>4487.5110000000004</v>
      </c>
      <c r="CE23" s="43">
        <v>570.73199999999997</v>
      </c>
      <c r="CF23" s="46"/>
      <c r="CG23" s="47"/>
      <c r="CH23" s="43"/>
      <c r="CI23" s="43"/>
      <c r="CJ23" s="46"/>
      <c r="CK23" s="47"/>
      <c r="CL23" s="43">
        <v>5610</v>
      </c>
      <c r="CM23" s="43">
        <v>5392</v>
      </c>
      <c r="CN23" s="46"/>
      <c r="CO23" s="47"/>
      <c r="CP23" s="43">
        <v>416.51900000000001</v>
      </c>
      <c r="CQ23" s="43">
        <v>387.56</v>
      </c>
      <c r="CR23" s="46"/>
      <c r="CS23" s="47"/>
      <c r="CT23" s="43">
        <v>-629</v>
      </c>
      <c r="CU23" s="43">
        <v>515</v>
      </c>
      <c r="CV23" s="46"/>
      <c r="CW23" s="47"/>
      <c r="CX23" s="43">
        <v>227</v>
      </c>
      <c r="CY23" s="43">
        <v>117</v>
      </c>
      <c r="CZ23" s="46"/>
      <c r="DA23" s="47"/>
      <c r="DB23" s="43"/>
      <c r="DC23" s="43"/>
      <c r="DD23" s="46"/>
      <c r="DE23" s="47"/>
      <c r="DF23" s="43">
        <v>9759.6239999999998</v>
      </c>
      <c r="DG23" s="43">
        <v>8356.7469999999994</v>
      </c>
      <c r="DH23" s="46"/>
      <c r="DI23" s="47"/>
      <c r="DJ23" s="43">
        <v>45777</v>
      </c>
      <c r="DK23" s="43">
        <v>15086</v>
      </c>
      <c r="DL23" s="43"/>
      <c r="DM23" s="43">
        <v>29325</v>
      </c>
      <c r="DN23" s="43">
        <v>5664</v>
      </c>
      <c r="DO23" s="46"/>
      <c r="DP23" s="47"/>
      <c r="DQ23" s="43">
        <v>0</v>
      </c>
      <c r="DR23" s="43">
        <v>0</v>
      </c>
      <c r="DS23" s="46"/>
      <c r="DT23" s="47"/>
      <c r="DU23" s="43">
        <v>2985.9520000000002</v>
      </c>
      <c r="DV23" s="43">
        <v>2785.83</v>
      </c>
    </row>
    <row r="24" spans="1:126" ht="12.75" customHeight="1" x14ac:dyDescent="0.2">
      <c r="A24" s="13" t="s">
        <v>132</v>
      </c>
      <c r="B24" s="70"/>
      <c r="C24" s="72"/>
      <c r="D24" s="73"/>
      <c r="E24" s="32">
        <f>E21-E23</f>
        <v>-1007.8240000000001</v>
      </c>
      <c r="F24" s="32"/>
      <c r="G24" s="72"/>
      <c r="H24" s="73"/>
      <c r="I24" s="32">
        <f>I21-I23</f>
        <v>3.1970000000003056</v>
      </c>
      <c r="J24" s="32">
        <f>J21-J23</f>
        <v>4.6149999999993447</v>
      </c>
      <c r="K24" s="72"/>
      <c r="L24" s="73"/>
      <c r="M24" s="32">
        <f>M21-M23</f>
        <v>6079</v>
      </c>
      <c r="N24" s="32">
        <f>N21-N23</f>
        <v>11129</v>
      </c>
      <c r="O24" s="72"/>
      <c r="P24" s="73"/>
      <c r="Q24" s="32">
        <f>Q21-Q23</f>
        <v>-178.82300000000009</v>
      </c>
      <c r="R24" s="32">
        <f>R21-R23</f>
        <v>333.30500000000012</v>
      </c>
      <c r="S24" s="32">
        <f>S21-S23</f>
        <v>669.71599999999989</v>
      </c>
      <c r="T24" s="72"/>
      <c r="U24" s="73"/>
      <c r="V24" s="32">
        <f>V21-V23</f>
        <v>6231</v>
      </c>
      <c r="W24" s="32">
        <f>W21-W23</f>
        <v>3982</v>
      </c>
      <c r="X24" s="72"/>
      <c r="Y24" s="73"/>
      <c r="Z24" s="32">
        <f>Z21-Z23</f>
        <v>1633.201</v>
      </c>
      <c r="AA24" s="32">
        <f>AA21-AA23</f>
        <v>1374.9759999999997</v>
      </c>
      <c r="AB24" s="72"/>
      <c r="AC24" s="73"/>
      <c r="AD24" s="32">
        <f>AD21-AD23</f>
        <v>942.87499999999864</v>
      </c>
      <c r="AE24" s="32">
        <f>AE21-AE23</f>
        <v>1124.8810000000003</v>
      </c>
      <c r="AF24" s="72"/>
      <c r="AG24" s="73"/>
      <c r="AH24" s="32">
        <f>AH21-AH23</f>
        <v>5835</v>
      </c>
      <c r="AI24" s="32">
        <f>AI21-AI23</f>
        <v>3923</v>
      </c>
      <c r="AJ24" s="72"/>
      <c r="AK24" s="73"/>
      <c r="AL24" s="32">
        <v>0</v>
      </c>
      <c r="AM24" s="32">
        <v>0</v>
      </c>
      <c r="AN24" s="72"/>
      <c r="AO24" s="73"/>
      <c r="AP24" s="32">
        <f>AP21-AP23</f>
        <v>509.6050000000003</v>
      </c>
      <c r="AQ24" s="32">
        <f>AQ21-AQ23</f>
        <v>268.26599999999991</v>
      </c>
      <c r="AR24" s="72"/>
      <c r="AS24" s="73"/>
      <c r="AT24" s="32">
        <f>AT21-AT23</f>
        <v>8790.6</v>
      </c>
      <c r="AU24" s="32">
        <f>AU21-AU23</f>
        <v>3518.809999999999</v>
      </c>
      <c r="AV24" s="72"/>
      <c r="AW24" s="73"/>
      <c r="AX24" s="32">
        <f>AX21-AX23</f>
        <v>7575</v>
      </c>
      <c r="AY24" s="32">
        <f>AY21-AY23</f>
        <v>6933</v>
      </c>
      <c r="AZ24" s="72"/>
      <c r="BA24" s="73"/>
      <c r="BB24" s="32">
        <f>BB21-BB23</f>
        <v>-10.900000000000006</v>
      </c>
      <c r="BC24" s="32"/>
      <c r="BD24" s="72"/>
      <c r="BE24" s="73"/>
      <c r="BF24" s="32"/>
      <c r="BG24" s="32"/>
      <c r="BH24" s="72"/>
      <c r="BI24" s="73"/>
      <c r="BJ24" s="32">
        <f>BJ21-BJ23</f>
        <v>14.009999999999854</v>
      </c>
      <c r="BK24" s="32">
        <f>BK21-BK23</f>
        <v>4.024999999999948</v>
      </c>
      <c r="BL24" s="72"/>
      <c r="BM24" s="73"/>
      <c r="BN24" s="32">
        <f>BN21-BN23</f>
        <v>-53.913999999999923</v>
      </c>
      <c r="BO24" s="32">
        <f>BO21-BO23</f>
        <v>34.349999999999895</v>
      </c>
      <c r="BP24" s="72"/>
      <c r="BQ24" s="73"/>
      <c r="BR24" s="32">
        <f>BR21-BR23</f>
        <v>1161.1330000000003</v>
      </c>
      <c r="BS24" s="32">
        <f>BS21-BS23</f>
        <v>1011.064</v>
      </c>
      <c r="BT24" s="72"/>
      <c r="BU24" s="73"/>
      <c r="BV24" s="32">
        <f>BV21-BV23</f>
        <v>44</v>
      </c>
      <c r="BW24" s="32">
        <f>BW21-BW23</f>
        <v>101</v>
      </c>
      <c r="BX24" s="72"/>
      <c r="BY24" s="73"/>
      <c r="BZ24" s="32">
        <f>BZ21-BZ23</f>
        <v>3847</v>
      </c>
      <c r="CA24" s="32">
        <f>CA21-CA23</f>
        <v>2862</v>
      </c>
      <c r="CB24" s="72"/>
      <c r="CC24" s="73"/>
      <c r="CD24" s="32">
        <f>CD21-CD23</f>
        <v>20105.020000000004</v>
      </c>
      <c r="CE24" s="32">
        <f>CE21-CE23</f>
        <v>14851.781000000006</v>
      </c>
      <c r="CF24" s="72"/>
      <c r="CG24" s="73"/>
      <c r="CH24" s="32"/>
      <c r="CI24" s="32"/>
      <c r="CJ24" s="72"/>
      <c r="CK24" s="73"/>
      <c r="CL24" s="32">
        <f>CL21-CL23</f>
        <v>12730</v>
      </c>
      <c r="CM24" s="32">
        <f>CM21-CM23</f>
        <v>11057</v>
      </c>
      <c r="CN24" s="72"/>
      <c r="CO24" s="73"/>
      <c r="CP24" s="32">
        <f>CP21-CP23</f>
        <v>830.09499999999957</v>
      </c>
      <c r="CQ24" s="32">
        <f>CQ21-CQ23</f>
        <v>814.42400000000043</v>
      </c>
      <c r="CR24" s="72"/>
      <c r="CS24" s="73"/>
      <c r="CT24" s="32">
        <f>CT21-CT23</f>
        <v>-1202</v>
      </c>
      <c r="CU24" s="32">
        <f>CU21-CU23</f>
        <v>1053</v>
      </c>
      <c r="CV24" s="72"/>
      <c r="CW24" s="73"/>
      <c r="CX24" s="32">
        <f>CX21-CX23</f>
        <v>4326</v>
      </c>
      <c r="CY24" s="32">
        <f>CY21-CY23</f>
        <v>3185</v>
      </c>
      <c r="CZ24" s="72"/>
      <c r="DA24" s="73"/>
      <c r="DB24" s="32"/>
      <c r="DC24" s="32"/>
      <c r="DD24" s="72"/>
      <c r="DE24" s="73"/>
      <c r="DF24" s="32">
        <f>DF21-DF23</f>
        <v>18706.458000000002</v>
      </c>
      <c r="DG24" s="32">
        <f>DG21-DG23</f>
        <v>14899.897000000004</v>
      </c>
      <c r="DH24" s="72"/>
      <c r="DI24" s="73"/>
      <c r="DJ24" s="32">
        <f>DJ21-DJ23</f>
        <v>2179</v>
      </c>
      <c r="DK24" s="32">
        <f>DK21-DK23</f>
        <v>7623</v>
      </c>
      <c r="DL24" s="32"/>
      <c r="DM24" s="32">
        <f>DM21-DM23</f>
        <v>50431</v>
      </c>
      <c r="DN24" s="32">
        <f>DN21-DN23</f>
        <v>27239</v>
      </c>
      <c r="DO24" s="72"/>
      <c r="DP24" s="73"/>
      <c r="DQ24" s="32">
        <f>DQ21-DQ23</f>
        <v>132.35600000000068</v>
      </c>
      <c r="DR24" s="32">
        <f>DR21-DR23</f>
        <v>82.160000000000082</v>
      </c>
      <c r="DS24" s="72"/>
      <c r="DT24" s="73"/>
      <c r="DU24" s="32">
        <f>DU21-DU23</f>
        <v>6020.4889999999987</v>
      </c>
      <c r="DV24" s="32">
        <f>DV21-DV23</f>
        <v>5614.2470000000048</v>
      </c>
    </row>
    <row r="25" spans="1:126" ht="12.75" customHeight="1" x14ac:dyDescent="0.2">
      <c r="A25" s="6"/>
      <c r="B25" s="65"/>
      <c r="C25" s="7"/>
      <c r="D25" s="8"/>
      <c r="E25" s="51"/>
      <c r="F25" s="51"/>
      <c r="G25" s="7"/>
      <c r="H25" s="8"/>
      <c r="I25" s="51"/>
      <c r="J25" s="51"/>
      <c r="K25" s="7"/>
      <c r="L25" s="8"/>
      <c r="M25" s="51"/>
      <c r="N25" s="51"/>
      <c r="O25" s="7"/>
      <c r="P25" s="8"/>
      <c r="Q25" s="51"/>
      <c r="R25" s="51"/>
      <c r="S25" s="51"/>
      <c r="T25" s="7"/>
      <c r="U25" s="8"/>
      <c r="V25" s="51"/>
      <c r="W25" s="51"/>
      <c r="X25" s="7"/>
      <c r="Y25" s="8"/>
      <c r="Z25" s="51"/>
      <c r="AA25" s="51"/>
      <c r="AB25" s="7"/>
      <c r="AC25" s="8"/>
      <c r="AD25" s="51"/>
      <c r="AE25" s="51"/>
      <c r="AF25" s="7"/>
      <c r="AG25" s="8"/>
      <c r="AH25" s="51"/>
      <c r="AI25" s="51"/>
      <c r="AJ25" s="7"/>
      <c r="AK25" s="8"/>
      <c r="AL25" s="51"/>
      <c r="AM25" s="51"/>
      <c r="AN25" s="7"/>
      <c r="AO25" s="8"/>
      <c r="AP25" s="51"/>
      <c r="AQ25" s="51"/>
      <c r="AR25" s="7"/>
      <c r="AS25" s="8"/>
      <c r="AT25" s="51"/>
      <c r="AU25" s="51"/>
      <c r="AV25" s="7"/>
      <c r="AW25" s="8"/>
      <c r="AX25" s="51"/>
      <c r="AY25" s="51"/>
      <c r="AZ25" s="7"/>
      <c r="BA25" s="8"/>
      <c r="BB25" s="51"/>
      <c r="BC25" s="51"/>
      <c r="BD25" s="7"/>
      <c r="BE25" s="8"/>
      <c r="BF25" s="51"/>
      <c r="BG25" s="51"/>
      <c r="BH25" s="7"/>
      <c r="BI25" s="8"/>
      <c r="BJ25" s="51"/>
      <c r="BK25" s="51"/>
      <c r="BL25" s="7"/>
      <c r="BM25" s="8"/>
      <c r="BN25" s="51"/>
      <c r="BO25" s="51"/>
      <c r="BP25" s="7"/>
      <c r="BQ25" s="8"/>
      <c r="BR25" s="51"/>
      <c r="BS25" s="51"/>
      <c r="BT25" s="7"/>
      <c r="BU25" s="8"/>
      <c r="BV25" s="51"/>
      <c r="BW25" s="51"/>
      <c r="BX25" s="7"/>
      <c r="BY25" s="8"/>
      <c r="BZ25" s="51"/>
      <c r="CA25" s="51"/>
      <c r="CB25" s="7"/>
      <c r="CC25" s="8"/>
      <c r="CD25" s="51"/>
      <c r="CE25" s="51"/>
      <c r="CF25" s="7"/>
      <c r="CG25" s="8"/>
      <c r="CH25" s="51"/>
      <c r="CI25" s="51"/>
      <c r="CJ25" s="7"/>
      <c r="CK25" s="8"/>
      <c r="CL25" s="51"/>
      <c r="CM25" s="51"/>
      <c r="CN25" s="7"/>
      <c r="CO25" s="8"/>
      <c r="CP25" s="51"/>
      <c r="CQ25" s="51"/>
      <c r="CR25" s="7"/>
      <c r="CS25" s="8"/>
      <c r="CT25" s="51"/>
      <c r="CU25" s="51"/>
      <c r="CV25" s="7"/>
      <c r="CW25" s="8"/>
      <c r="CX25" s="51"/>
      <c r="CY25" s="51"/>
      <c r="CZ25" s="7"/>
      <c r="DA25" s="8"/>
      <c r="DB25" s="51"/>
      <c r="DC25" s="51"/>
      <c r="DD25" s="7"/>
      <c r="DE25" s="8"/>
      <c r="DF25" s="51"/>
      <c r="DG25" s="51"/>
      <c r="DH25" s="7"/>
      <c r="DI25" s="8"/>
      <c r="DJ25" s="51"/>
      <c r="DK25" s="51"/>
      <c r="DL25" s="51"/>
      <c r="DM25" s="51"/>
      <c r="DN25" s="51"/>
      <c r="DO25" s="7"/>
      <c r="DP25" s="8"/>
      <c r="DQ25" s="51"/>
      <c r="DR25" s="51"/>
      <c r="DS25" s="7"/>
      <c r="DT25" s="8"/>
      <c r="DU25" s="51"/>
      <c r="DV25" s="51"/>
    </row>
    <row r="26" spans="1:126" ht="12.75" customHeight="1" x14ac:dyDescent="0.2">
      <c r="A26" s="75" t="s">
        <v>133</v>
      </c>
      <c r="B26" s="76"/>
      <c r="C26" s="72"/>
      <c r="D26" s="73"/>
      <c r="E26" s="35"/>
      <c r="F26" s="35"/>
      <c r="G26" s="72"/>
      <c r="H26" s="73"/>
      <c r="I26" s="35"/>
      <c r="J26" s="35"/>
      <c r="K26" s="72"/>
      <c r="L26" s="73"/>
      <c r="M26" s="35"/>
      <c r="N26" s="35"/>
      <c r="O26" s="72"/>
      <c r="P26" s="73"/>
      <c r="Q26" s="35"/>
      <c r="R26" s="35"/>
      <c r="S26" s="35"/>
      <c r="T26" s="72"/>
      <c r="U26" s="73"/>
      <c r="V26" s="35"/>
      <c r="W26" s="35"/>
      <c r="X26" s="72"/>
      <c r="Y26" s="73"/>
      <c r="Z26" s="35"/>
      <c r="AA26" s="35"/>
      <c r="AB26" s="72"/>
      <c r="AC26" s="73"/>
      <c r="AD26" s="35"/>
      <c r="AE26" s="35"/>
      <c r="AF26" s="72"/>
      <c r="AG26" s="73"/>
      <c r="AH26" s="35"/>
      <c r="AI26" s="35"/>
      <c r="AJ26" s="72"/>
      <c r="AK26" s="73"/>
      <c r="AL26" s="35"/>
      <c r="AM26" s="35"/>
      <c r="AN26" s="72"/>
      <c r="AO26" s="73"/>
      <c r="AP26" s="35"/>
      <c r="AQ26" s="35"/>
      <c r="AR26" s="72"/>
      <c r="AS26" s="73"/>
      <c r="AT26" s="35"/>
      <c r="AU26" s="35"/>
      <c r="AV26" s="72"/>
      <c r="AW26" s="73"/>
      <c r="AX26" s="35"/>
      <c r="AY26" s="35"/>
      <c r="AZ26" s="72"/>
      <c r="BA26" s="73"/>
      <c r="BB26" s="35"/>
      <c r="BC26" s="35"/>
      <c r="BD26" s="72"/>
      <c r="BE26" s="73"/>
      <c r="BF26" s="35"/>
      <c r="BG26" s="35"/>
      <c r="BH26" s="72"/>
      <c r="BI26" s="73"/>
      <c r="BJ26" s="35"/>
      <c r="BK26" s="35"/>
      <c r="BL26" s="72"/>
      <c r="BM26" s="73"/>
      <c r="BN26" s="35"/>
      <c r="BO26" s="35"/>
      <c r="BP26" s="72"/>
      <c r="BQ26" s="73"/>
      <c r="BR26" s="35"/>
      <c r="BS26" s="35"/>
      <c r="BT26" s="72"/>
      <c r="BU26" s="73"/>
      <c r="BV26" s="35"/>
      <c r="BW26" s="35"/>
      <c r="BX26" s="72"/>
      <c r="BY26" s="73"/>
      <c r="BZ26" s="35"/>
      <c r="CA26" s="35"/>
      <c r="CB26" s="72"/>
      <c r="CC26" s="73"/>
      <c r="CD26" s="35"/>
      <c r="CE26" s="35"/>
      <c r="CF26" s="72"/>
      <c r="CG26" s="73"/>
      <c r="CH26" s="35"/>
      <c r="CI26" s="35"/>
      <c r="CJ26" s="72"/>
      <c r="CK26" s="73"/>
      <c r="CL26" s="35"/>
      <c r="CM26" s="35"/>
      <c r="CN26" s="72"/>
      <c r="CO26" s="73"/>
      <c r="CP26" s="35"/>
      <c r="CQ26" s="35"/>
      <c r="CR26" s="72"/>
      <c r="CS26" s="73"/>
      <c r="CT26" s="35"/>
      <c r="CU26" s="35"/>
      <c r="CV26" s="72"/>
      <c r="CW26" s="73"/>
      <c r="CX26" s="35"/>
      <c r="CY26" s="35"/>
      <c r="CZ26" s="72"/>
      <c r="DA26" s="73"/>
      <c r="DB26" s="35"/>
      <c r="DC26" s="35"/>
      <c r="DD26" s="72"/>
      <c r="DE26" s="73"/>
      <c r="DF26" s="35"/>
      <c r="DG26" s="35"/>
      <c r="DH26" s="72"/>
      <c r="DI26" s="73"/>
      <c r="DJ26" s="35"/>
      <c r="DK26" s="35"/>
      <c r="DL26" s="35"/>
      <c r="DM26" s="35"/>
      <c r="DN26" s="35"/>
      <c r="DO26" s="72"/>
      <c r="DP26" s="73"/>
      <c r="DQ26" s="35"/>
      <c r="DR26" s="35"/>
      <c r="DS26" s="72"/>
      <c r="DT26" s="73"/>
      <c r="DU26" s="35"/>
      <c r="DV26" s="35"/>
    </row>
    <row r="27" spans="1:126" ht="12.75" customHeight="1" x14ac:dyDescent="0.2">
      <c r="A27" s="13" t="s">
        <v>134</v>
      </c>
      <c r="B27" s="5"/>
      <c r="E27" s="32"/>
      <c r="F27" s="32"/>
      <c r="I27" s="32"/>
      <c r="J27" s="32"/>
      <c r="M27" s="32"/>
      <c r="N27" s="32"/>
      <c r="Q27" s="32"/>
      <c r="R27" s="32"/>
      <c r="S27" s="32"/>
      <c r="V27" s="32"/>
      <c r="W27" s="32"/>
      <c r="Z27" s="32"/>
      <c r="AA27" s="32"/>
      <c r="AD27" s="32"/>
      <c r="AE27" s="32"/>
      <c r="AH27" s="32"/>
      <c r="AI27" s="32"/>
      <c r="AL27" s="32"/>
      <c r="AM27" s="32"/>
      <c r="AP27" s="32"/>
      <c r="AQ27" s="32"/>
      <c r="AT27" s="32"/>
      <c r="AU27" s="32"/>
      <c r="AX27" s="32"/>
      <c r="AY27" s="32"/>
      <c r="BB27" s="32"/>
      <c r="BC27" s="32"/>
      <c r="BF27" s="32"/>
      <c r="BG27" s="32"/>
      <c r="BJ27" s="32"/>
      <c r="BK27" s="32"/>
      <c r="BN27" s="32"/>
      <c r="BO27" s="32"/>
      <c r="BR27" s="32"/>
      <c r="BS27" s="32"/>
      <c r="BV27" s="32"/>
      <c r="BW27" s="32"/>
      <c r="BZ27" s="32"/>
      <c r="CA27" s="32"/>
      <c r="CD27" s="32"/>
      <c r="CE27" s="32"/>
      <c r="CH27" s="32"/>
      <c r="CI27" s="32"/>
      <c r="CL27" s="32"/>
      <c r="CM27" s="32"/>
      <c r="CP27" s="32"/>
      <c r="CQ27" s="32"/>
      <c r="CT27" s="32"/>
      <c r="CU27" s="32"/>
      <c r="CX27" s="32"/>
      <c r="CY27" s="32"/>
      <c r="DB27" s="32"/>
      <c r="DC27" s="32"/>
      <c r="DF27" s="32"/>
      <c r="DG27" s="32"/>
      <c r="DJ27" s="32"/>
      <c r="DK27" s="32"/>
      <c r="DL27" s="32"/>
      <c r="DM27" s="32"/>
      <c r="DN27" s="32"/>
      <c r="DQ27" s="32"/>
      <c r="DR27" s="32"/>
      <c r="DU27" s="32"/>
      <c r="DV27" s="32"/>
    </row>
    <row r="28" spans="1:126" ht="12.75" customHeight="1" x14ac:dyDescent="0.2">
      <c r="A28" s="74"/>
      <c r="B28" s="76" t="s">
        <v>135</v>
      </c>
      <c r="C28" s="72"/>
      <c r="D28" s="73"/>
      <c r="E28" s="35">
        <f>12718.451-63.593+2316.872-11.584</f>
        <v>14960.145999999997</v>
      </c>
      <c r="F28" s="35"/>
      <c r="G28" s="72"/>
      <c r="H28" s="73"/>
      <c r="I28" s="35">
        <v>86.299000000000007</v>
      </c>
      <c r="J28" s="35">
        <v>81.36</v>
      </c>
      <c r="K28" s="72"/>
      <c r="L28" s="73"/>
      <c r="M28" s="35">
        <f>40435+70393</f>
        <v>110828</v>
      </c>
      <c r="N28" s="35">
        <f>35137+68890</f>
        <v>104027</v>
      </c>
      <c r="O28" s="72"/>
      <c r="P28" s="73"/>
      <c r="Q28" s="35">
        <v>48208</v>
      </c>
      <c r="R28" s="35">
        <v>38279.667000000001</v>
      </c>
      <c r="S28" s="35">
        <v>33876.589</v>
      </c>
      <c r="T28" s="72"/>
      <c r="U28" s="73"/>
      <c r="V28" s="35">
        <v>216606</v>
      </c>
      <c r="W28" s="35">
        <v>158478</v>
      </c>
      <c r="X28" s="72"/>
      <c r="Y28" s="73"/>
      <c r="Z28" s="35">
        <v>92524.027000000002</v>
      </c>
      <c r="AA28" s="35">
        <v>66701.95</v>
      </c>
      <c r="AB28" s="72"/>
      <c r="AC28" s="73"/>
      <c r="AD28" s="35">
        <f>30903.409+25142.049+3254.778+295</f>
        <v>59595.235999999997</v>
      </c>
      <c r="AE28" s="35">
        <f>21024.329+4111.271+18497.463</f>
        <v>43633.063000000002</v>
      </c>
      <c r="AF28" s="72"/>
      <c r="AG28" s="73"/>
      <c r="AH28" s="35">
        <f>157848</f>
        <v>157848</v>
      </c>
      <c r="AI28" s="35">
        <v>179965</v>
      </c>
      <c r="AJ28" s="72"/>
      <c r="AK28" s="73"/>
      <c r="AL28" s="35">
        <f>1582.834+3858.973</f>
        <v>5441.8069999999998</v>
      </c>
      <c r="AM28" s="35">
        <f>0</f>
        <v>0</v>
      </c>
      <c r="AN28" s="72"/>
      <c r="AO28" s="73"/>
      <c r="AP28" s="35">
        <f>1040+28235.206+4200.583</f>
        <v>33475.788999999997</v>
      </c>
      <c r="AQ28" s="35">
        <f>6452.535+1190.796</f>
        <v>7643.3310000000001</v>
      </c>
      <c r="AR28" s="72"/>
      <c r="AS28" s="73"/>
      <c r="AT28" s="35">
        <f>137776.03</f>
        <v>137776.03</v>
      </c>
      <c r="AU28" s="35">
        <v>73735.850000000006</v>
      </c>
      <c r="AV28" s="72"/>
      <c r="AW28" s="73"/>
      <c r="AX28" s="35">
        <v>587327</v>
      </c>
      <c r="AY28" s="35">
        <v>484376</v>
      </c>
      <c r="AZ28" s="72"/>
      <c r="BA28" s="73"/>
      <c r="BB28" s="56">
        <v>647.09100000000001</v>
      </c>
      <c r="BC28" s="35"/>
      <c r="BD28" s="72"/>
      <c r="BE28" s="73"/>
      <c r="BF28" s="35"/>
      <c r="BG28" s="35"/>
      <c r="BH28" s="72"/>
      <c r="BI28" s="73"/>
      <c r="BJ28" s="35">
        <f>11000+10778.029</f>
        <v>21778.029000000002</v>
      </c>
      <c r="BK28" s="35">
        <f>11000+151.97</f>
        <v>11151.97</v>
      </c>
      <c r="BL28" s="72"/>
      <c r="BM28" s="73"/>
      <c r="BN28" s="35">
        <f>2089.147+1539.676-46.805</f>
        <v>3582.018</v>
      </c>
      <c r="BO28" s="35">
        <f>1717.777+835.755-60</f>
        <v>2493.5320000000002</v>
      </c>
      <c r="BP28" s="72"/>
      <c r="BQ28" s="73"/>
      <c r="BR28" s="35">
        <v>37115.904000000002</v>
      </c>
      <c r="BS28" s="35">
        <v>40535.680999999997</v>
      </c>
      <c r="BT28" s="72"/>
      <c r="BU28" s="73"/>
      <c r="BV28" s="35">
        <v>32626.61</v>
      </c>
      <c r="BW28" s="35">
        <v>29786.663</v>
      </c>
      <c r="BX28" s="72"/>
      <c r="BY28" s="73"/>
      <c r="BZ28" s="35">
        <f>333334-2036</f>
        <v>331298</v>
      </c>
      <c r="CA28" s="35">
        <f>277287-1798</f>
        <v>275489</v>
      </c>
      <c r="CB28" s="72"/>
      <c r="CC28" s="73"/>
      <c r="CD28" s="35">
        <f>641521.183</f>
        <v>641521.18299999996</v>
      </c>
      <c r="CE28" s="35">
        <v>531354.33100000001</v>
      </c>
      <c r="CF28" s="72"/>
      <c r="CG28" s="73"/>
      <c r="CH28" s="35"/>
      <c r="CI28" s="35"/>
      <c r="CJ28" s="72"/>
      <c r="CK28" s="73"/>
      <c r="CL28" s="35">
        <f>1464340-885</f>
        <v>1463455</v>
      </c>
      <c r="CM28" s="35">
        <f>1277720-508</f>
        <v>1277212</v>
      </c>
      <c r="CN28" s="72"/>
      <c r="CO28" s="73"/>
      <c r="CP28" s="35">
        <f>18246.915+19262.789</f>
        <v>37509.703999999998</v>
      </c>
      <c r="CQ28" s="35">
        <f>19572.619+14219.487</f>
        <v>33792.106</v>
      </c>
      <c r="CR28" s="72"/>
      <c r="CS28" s="73"/>
      <c r="CT28" s="35">
        <f>166689+11614</f>
        <v>178303</v>
      </c>
      <c r="CU28" s="35">
        <f>162971+4243</f>
        <v>167214</v>
      </c>
      <c r="CV28" s="72"/>
      <c r="CW28" s="73"/>
      <c r="CX28" s="35">
        <f>33007+15520</f>
        <v>48527</v>
      </c>
      <c r="CY28" s="35">
        <f>18194+11332+12813</f>
        <v>42339</v>
      </c>
      <c r="CZ28" s="72"/>
      <c r="DA28" s="73"/>
      <c r="DB28" s="35"/>
      <c r="DC28" s="35"/>
      <c r="DD28" s="72"/>
      <c r="DE28" s="73"/>
      <c r="DF28" s="35">
        <f>251496.974</f>
        <v>251496.97399999999</v>
      </c>
      <c r="DG28" s="35">
        <v>179437.734</v>
      </c>
      <c r="DH28" s="72"/>
      <c r="DI28" s="73"/>
      <c r="DJ28" s="35">
        <f>2219907+5576799</f>
        <v>7796706</v>
      </c>
      <c r="DK28" s="35">
        <f>1979254+5314568</f>
        <v>7293822</v>
      </c>
      <c r="DL28" s="35"/>
      <c r="DM28" s="35">
        <f>1531718+5313321</f>
        <v>6845039</v>
      </c>
      <c r="DN28" s="35">
        <f>1707856+4914314</f>
        <v>6622170</v>
      </c>
      <c r="DO28" s="72"/>
      <c r="DP28" s="73"/>
      <c r="DQ28" s="35">
        <f>120+1.831+300.486+205.284+215.443+1122.617</f>
        <v>1965.6610000000001</v>
      </c>
      <c r="DR28" s="35">
        <f>0.198+110.49+922.719</f>
        <v>1033.4070000000002</v>
      </c>
      <c r="DS28" s="72"/>
      <c r="DT28" s="73"/>
      <c r="DU28" s="35">
        <v>297488.016</v>
      </c>
      <c r="DV28" s="35">
        <v>260390.88099999999</v>
      </c>
    </row>
    <row r="29" spans="1:126" ht="12.75" customHeight="1" x14ac:dyDescent="0.2">
      <c r="A29" s="58"/>
      <c r="B29" s="78" t="s">
        <v>136</v>
      </c>
      <c r="C29" s="63"/>
      <c r="D29" s="64"/>
      <c r="E29" s="61">
        <f>E30-E28</f>
        <v>9249.8980000000047</v>
      </c>
      <c r="F29" s="61"/>
      <c r="G29" s="63"/>
      <c r="H29" s="64"/>
      <c r="I29" s="61">
        <f>I30-I28</f>
        <v>256919.67199999999</v>
      </c>
      <c r="J29" s="61">
        <f>J30-J28</f>
        <v>256923.03000000003</v>
      </c>
      <c r="K29" s="63"/>
      <c r="L29" s="64"/>
      <c r="M29" s="61">
        <f>M30-M28</f>
        <v>240365</v>
      </c>
      <c r="N29" s="61">
        <f>N30-N28</f>
        <v>227917</v>
      </c>
      <c r="O29" s="63"/>
      <c r="P29" s="64"/>
      <c r="Q29" s="61">
        <f>Q30-Q28</f>
        <v>2981</v>
      </c>
      <c r="R29" s="61">
        <f>R30-R28</f>
        <v>1313.6719999999987</v>
      </c>
      <c r="S29" s="61">
        <f>S30-S28</f>
        <v>2535.7320000000036</v>
      </c>
      <c r="T29" s="63"/>
      <c r="U29" s="64"/>
      <c r="V29" s="61">
        <f>V30-V28</f>
        <v>78794</v>
      </c>
      <c r="W29" s="61">
        <f>W30-W28</f>
        <v>27516</v>
      </c>
      <c r="X29" s="63"/>
      <c r="Y29" s="64"/>
      <c r="Z29" s="61">
        <f>Z30-Z28</f>
        <v>450.41599999999744</v>
      </c>
      <c r="AA29" s="61">
        <f>AA30-AA28</f>
        <v>4665.7170000000042</v>
      </c>
      <c r="AB29" s="63"/>
      <c r="AC29" s="64"/>
      <c r="AD29" s="61">
        <f>AD30-AD28</f>
        <v>2107.8970000000045</v>
      </c>
      <c r="AE29" s="61">
        <f>AE30-AE28</f>
        <v>753.30500000000029</v>
      </c>
      <c r="AF29" s="63"/>
      <c r="AG29" s="64"/>
      <c r="AH29" s="61">
        <f>AH30-AH28</f>
        <v>276923</v>
      </c>
      <c r="AI29" s="61">
        <f>AI30-AI28</f>
        <v>234106</v>
      </c>
      <c r="AJ29" s="63"/>
      <c r="AK29" s="64"/>
      <c r="AL29" s="61">
        <f>AL30-AL28</f>
        <v>234.82600000000002</v>
      </c>
      <c r="AM29" s="61">
        <f>AM30-AM28</f>
        <v>1</v>
      </c>
      <c r="AN29" s="63"/>
      <c r="AO29" s="64"/>
      <c r="AP29" s="61">
        <f>AP30-AP28</f>
        <v>2911.7610000000059</v>
      </c>
      <c r="AQ29" s="61">
        <f>AQ30-AQ28</f>
        <v>448.07699999999932</v>
      </c>
      <c r="AR29" s="63"/>
      <c r="AS29" s="64"/>
      <c r="AT29" s="61">
        <f>AT30-AT28</f>
        <v>9918.8500000000058</v>
      </c>
      <c r="AU29" s="61">
        <f>AU30-AU28</f>
        <v>7252.435999999987</v>
      </c>
      <c r="AV29" s="63"/>
      <c r="AW29" s="64"/>
      <c r="AX29" s="61">
        <f>AX30-AX28</f>
        <v>171738</v>
      </c>
      <c r="AY29" s="61">
        <f>AY30-AY28</f>
        <v>177779</v>
      </c>
      <c r="AZ29" s="63"/>
      <c r="BA29" s="64"/>
      <c r="BB29" s="61">
        <f>BB30-BB28</f>
        <v>191.47000000000003</v>
      </c>
      <c r="BC29" s="61"/>
      <c r="BD29" s="63"/>
      <c r="BE29" s="64"/>
      <c r="BF29" s="61"/>
      <c r="BG29" s="61"/>
      <c r="BH29" s="63"/>
      <c r="BI29" s="64"/>
      <c r="BJ29" s="61">
        <f>BJ30-BJ28</f>
        <v>45.205999999998312</v>
      </c>
      <c r="BK29" s="61">
        <f>BK30-BK28</f>
        <v>54.247000000001208</v>
      </c>
      <c r="BL29" s="63"/>
      <c r="BM29" s="64"/>
      <c r="BN29" s="61">
        <f>BN30-BN28</f>
        <v>716.99099999999999</v>
      </c>
      <c r="BO29" s="61">
        <f>BO30-BO28</f>
        <v>217.10399999999981</v>
      </c>
      <c r="BP29" s="63"/>
      <c r="BQ29" s="64"/>
      <c r="BR29" s="61">
        <f>BR30-BR28</f>
        <v>484.65799999999581</v>
      </c>
      <c r="BS29" s="61">
        <f>BS30-BS28</f>
        <v>530.22300000000541</v>
      </c>
      <c r="BT29" s="63"/>
      <c r="BU29" s="64"/>
      <c r="BV29" s="61">
        <f>BV30-BV28</f>
        <v>7957.4439999999959</v>
      </c>
      <c r="BW29" s="61">
        <f>BW30-BW28</f>
        <v>6005.5360000000001</v>
      </c>
      <c r="BX29" s="63"/>
      <c r="BY29" s="64"/>
      <c r="BZ29" s="61">
        <f>BZ30-BZ28</f>
        <v>75890</v>
      </c>
      <c r="CA29" s="61">
        <f>CA30-CA28</f>
        <v>114858</v>
      </c>
      <c r="CB29" s="63"/>
      <c r="CC29" s="64"/>
      <c r="CD29" s="61">
        <f>CD30-CD28</f>
        <v>183616.58299999998</v>
      </c>
      <c r="CE29" s="61">
        <f>CE30-CE28</f>
        <v>198819.26300000004</v>
      </c>
      <c r="CF29" s="63"/>
      <c r="CG29" s="64"/>
      <c r="CH29" s="61"/>
      <c r="CI29" s="61"/>
      <c r="CJ29" s="63"/>
      <c r="CK29" s="64"/>
      <c r="CL29" s="61">
        <f>CL30-CL28</f>
        <v>50465</v>
      </c>
      <c r="CM29" s="61">
        <f>CM30-CM28</f>
        <v>66458</v>
      </c>
      <c r="CN29" s="63"/>
      <c r="CO29" s="64"/>
      <c r="CP29" s="61">
        <f>CP30-CP28</f>
        <v>1848.0740000000005</v>
      </c>
      <c r="CQ29" s="61">
        <f>CQ30-CQ28</f>
        <v>2422.351999999999</v>
      </c>
      <c r="CR29" s="63"/>
      <c r="CS29" s="64"/>
      <c r="CT29" s="61">
        <f>CT30-CT28</f>
        <v>42312</v>
      </c>
      <c r="CU29" s="61">
        <f>CU30-CU28</f>
        <v>47851</v>
      </c>
      <c r="CV29" s="63"/>
      <c r="CW29" s="64"/>
      <c r="CX29" s="61">
        <f>CX30-CX28</f>
        <v>89084</v>
      </c>
      <c r="CY29" s="61">
        <f>CY30-CY28</f>
        <v>79461</v>
      </c>
      <c r="CZ29" s="63"/>
      <c r="DA29" s="64"/>
      <c r="DB29" s="61"/>
      <c r="DC29" s="61"/>
      <c r="DD29" s="63"/>
      <c r="DE29" s="64"/>
      <c r="DF29" s="61">
        <f>DF30-DF28</f>
        <v>67302.951000000001</v>
      </c>
      <c r="DG29" s="61">
        <f>DG30-DG28</f>
        <v>54989.231</v>
      </c>
      <c r="DH29" s="63"/>
      <c r="DI29" s="64"/>
      <c r="DJ29" s="61">
        <f>DJ30-DJ28</f>
        <v>3120427</v>
      </c>
      <c r="DK29" s="61">
        <f>DK30-DK28</f>
        <v>3181837</v>
      </c>
      <c r="DL29" s="61"/>
      <c r="DM29" s="61">
        <f>DM30-DM28</f>
        <v>3478599</v>
      </c>
      <c r="DN29" s="61">
        <f>DN30-DN28</f>
        <v>737138</v>
      </c>
      <c r="DO29" s="63"/>
      <c r="DP29" s="64"/>
      <c r="DQ29" s="61">
        <f>DQ30-DQ28</f>
        <v>4862.1480000000001</v>
      </c>
      <c r="DR29" s="61">
        <f>DR30-DR28</f>
        <v>2347.2049999999999</v>
      </c>
      <c r="DS29" s="63"/>
      <c r="DT29" s="64"/>
      <c r="DU29" s="61">
        <f>DU30-DU28</f>
        <v>236434.54400000005</v>
      </c>
      <c r="DV29" s="61">
        <f>DV30-DV28</f>
        <v>240364.93900000001</v>
      </c>
    </row>
    <row r="30" spans="1:126" ht="12.75" customHeight="1" x14ac:dyDescent="0.2">
      <c r="A30" s="74" t="s">
        <v>137</v>
      </c>
      <c r="B30" s="33"/>
      <c r="C30" s="72"/>
      <c r="D30" s="73"/>
      <c r="E30" s="35">
        <f>24210.044</f>
        <v>24210.044000000002</v>
      </c>
      <c r="F30" s="35"/>
      <c r="G30" s="72"/>
      <c r="H30" s="73"/>
      <c r="I30" s="35">
        <f>257005.971</f>
        <v>257005.97099999999</v>
      </c>
      <c r="J30" s="35">
        <v>257004.39</v>
      </c>
      <c r="K30" s="72"/>
      <c r="L30" s="73"/>
      <c r="M30" s="35">
        <f>351193</f>
        <v>351193</v>
      </c>
      <c r="N30" s="35">
        <f>331944</f>
        <v>331944</v>
      </c>
      <c r="O30" s="72"/>
      <c r="P30" s="73"/>
      <c r="Q30" s="35">
        <v>51189</v>
      </c>
      <c r="R30" s="35">
        <v>39593.339</v>
      </c>
      <c r="S30" s="35">
        <v>36412.321000000004</v>
      </c>
      <c r="T30" s="72"/>
      <c r="U30" s="73"/>
      <c r="V30" s="35">
        <f>295400</f>
        <v>295400</v>
      </c>
      <c r="W30" s="35">
        <v>185994</v>
      </c>
      <c r="X30" s="72"/>
      <c r="Y30" s="73"/>
      <c r="Z30" s="35">
        <f>92974.443</f>
        <v>92974.442999999999</v>
      </c>
      <c r="AA30" s="35">
        <v>71367.667000000001</v>
      </c>
      <c r="AB30" s="72"/>
      <c r="AC30" s="73"/>
      <c r="AD30" s="35">
        <f>61703.133</f>
        <v>61703.133000000002</v>
      </c>
      <c r="AE30" s="35">
        <v>44386.368000000002</v>
      </c>
      <c r="AF30" s="72"/>
      <c r="AG30" s="73"/>
      <c r="AH30" s="35">
        <f>434771</f>
        <v>434771</v>
      </c>
      <c r="AI30" s="35">
        <v>414071</v>
      </c>
      <c r="AJ30" s="72"/>
      <c r="AK30" s="73"/>
      <c r="AL30" s="35">
        <f>5676.633</f>
        <v>5676.6329999999998</v>
      </c>
      <c r="AM30" s="35">
        <f>1</f>
        <v>1</v>
      </c>
      <c r="AN30" s="72"/>
      <c r="AO30" s="73"/>
      <c r="AP30" s="35">
        <f>32186.967+4200.583</f>
        <v>36387.550000000003</v>
      </c>
      <c r="AQ30" s="35">
        <f>6855.355+1236.053</f>
        <v>8091.4079999999994</v>
      </c>
      <c r="AR30" s="72"/>
      <c r="AS30" s="73"/>
      <c r="AT30" s="35">
        <f>78936.178+68758.702</f>
        <v>147694.88</v>
      </c>
      <c r="AU30" s="35">
        <f>34129.944+46858.342</f>
        <v>80988.285999999993</v>
      </c>
      <c r="AV30" s="72"/>
      <c r="AW30" s="73"/>
      <c r="AX30" s="35">
        <f>759065</f>
        <v>759065</v>
      </c>
      <c r="AY30" s="35">
        <v>662155</v>
      </c>
      <c r="AZ30" s="72"/>
      <c r="BA30" s="73"/>
      <c r="BB30" s="35">
        <v>838.56100000000004</v>
      </c>
      <c r="BC30" s="35"/>
      <c r="BD30" s="72"/>
      <c r="BE30" s="73"/>
      <c r="BF30" s="35"/>
      <c r="BG30" s="35"/>
      <c r="BH30" s="72"/>
      <c r="BI30" s="73"/>
      <c r="BJ30" s="35">
        <f>21823.235</f>
        <v>21823.235000000001</v>
      </c>
      <c r="BK30" s="35">
        <f>11206.217</f>
        <v>11206.217000000001</v>
      </c>
      <c r="BL30" s="72"/>
      <c r="BM30" s="73"/>
      <c r="BN30" s="35">
        <f>4299.009</f>
        <v>4299.009</v>
      </c>
      <c r="BO30" s="35">
        <v>2710.636</v>
      </c>
      <c r="BP30" s="72"/>
      <c r="BQ30" s="73"/>
      <c r="BR30" s="35">
        <f>37600.562</f>
        <v>37600.561999999998</v>
      </c>
      <c r="BS30" s="35">
        <v>41065.904000000002</v>
      </c>
      <c r="BT30" s="72"/>
      <c r="BU30" s="73"/>
      <c r="BV30" s="35">
        <f>40584.054</f>
        <v>40584.053999999996</v>
      </c>
      <c r="BW30" s="35">
        <f>35792.199</f>
        <v>35792.199000000001</v>
      </c>
      <c r="BX30" s="72"/>
      <c r="BY30" s="73"/>
      <c r="BZ30" s="35">
        <f>407188</f>
        <v>407188</v>
      </c>
      <c r="CA30" s="35">
        <v>390347</v>
      </c>
      <c r="CB30" s="72"/>
      <c r="CC30" s="73"/>
      <c r="CD30" s="35">
        <f>825137.766</f>
        <v>825137.76599999995</v>
      </c>
      <c r="CE30" s="35">
        <f>730173.594</f>
        <v>730173.59400000004</v>
      </c>
      <c r="CF30" s="72"/>
      <c r="CG30" s="73"/>
      <c r="CH30" s="35"/>
      <c r="CI30" s="35"/>
      <c r="CJ30" s="72"/>
      <c r="CK30" s="73"/>
      <c r="CL30" s="35">
        <f>1513920</f>
        <v>1513920</v>
      </c>
      <c r="CM30" s="35">
        <f>1343670</f>
        <v>1343670</v>
      </c>
      <c r="CN30" s="72"/>
      <c r="CO30" s="73"/>
      <c r="CP30" s="35">
        <f>39357.778</f>
        <v>39357.777999999998</v>
      </c>
      <c r="CQ30" s="35">
        <f>36214.458</f>
        <v>36214.457999999999</v>
      </c>
      <c r="CR30" s="72"/>
      <c r="CS30" s="73"/>
      <c r="CT30" s="35">
        <v>220615</v>
      </c>
      <c r="CU30" s="35">
        <v>215065</v>
      </c>
      <c r="CV30" s="72"/>
      <c r="CW30" s="73"/>
      <c r="CX30" s="35">
        <f>137611</f>
        <v>137611</v>
      </c>
      <c r="CY30" s="35">
        <f>121800</f>
        <v>121800</v>
      </c>
      <c r="CZ30" s="72"/>
      <c r="DA30" s="73"/>
      <c r="DB30" s="35"/>
      <c r="DC30" s="35"/>
      <c r="DD30" s="72"/>
      <c r="DE30" s="73"/>
      <c r="DF30" s="35">
        <f>318799.925</f>
        <v>318799.92499999999</v>
      </c>
      <c r="DG30" s="35">
        <v>234426.965</v>
      </c>
      <c r="DH30" s="72"/>
      <c r="DI30" s="73"/>
      <c r="DJ30" s="35">
        <f>10917133</f>
        <v>10917133</v>
      </c>
      <c r="DK30" s="35">
        <v>10475659</v>
      </c>
      <c r="DL30" s="35"/>
      <c r="DM30" s="35">
        <f>10323638</f>
        <v>10323638</v>
      </c>
      <c r="DN30" s="35">
        <v>7359308</v>
      </c>
      <c r="DO30" s="72"/>
      <c r="DP30" s="73"/>
      <c r="DQ30" s="35">
        <f>6827.809</f>
        <v>6827.8090000000002</v>
      </c>
      <c r="DR30" s="35">
        <f>3380.612</f>
        <v>3380.6120000000001</v>
      </c>
      <c r="DS30" s="72"/>
      <c r="DT30" s="73"/>
      <c r="DU30" s="35">
        <f>533922.56</f>
        <v>533922.56000000006</v>
      </c>
      <c r="DV30" s="35">
        <v>500755.82</v>
      </c>
    </row>
    <row r="31" spans="1:126" ht="12.75" customHeight="1" x14ac:dyDescent="0.2">
      <c r="A31" s="74"/>
      <c r="B31" s="33"/>
      <c r="C31" s="72"/>
      <c r="D31" s="73"/>
      <c r="E31" s="35"/>
      <c r="F31" s="35"/>
      <c r="G31" s="72"/>
      <c r="H31" s="73"/>
      <c r="I31" s="35"/>
      <c r="J31" s="35"/>
      <c r="K31" s="72"/>
      <c r="L31" s="73"/>
      <c r="M31" s="35"/>
      <c r="N31" s="35"/>
      <c r="O31" s="72"/>
      <c r="P31" s="73"/>
      <c r="Q31" s="35"/>
      <c r="R31" s="35"/>
      <c r="S31" s="35"/>
      <c r="T31" s="72"/>
      <c r="U31" s="73"/>
      <c r="V31" s="35"/>
      <c r="W31" s="35"/>
      <c r="X31" s="72"/>
      <c r="Y31" s="73"/>
      <c r="Z31" s="35"/>
      <c r="AA31" s="35"/>
      <c r="AB31" s="72"/>
      <c r="AC31" s="73"/>
      <c r="AD31" s="35"/>
      <c r="AE31" s="35"/>
      <c r="AF31" s="72"/>
      <c r="AG31" s="73"/>
      <c r="AH31" s="35"/>
      <c r="AI31" s="35"/>
      <c r="AJ31" s="72"/>
      <c r="AK31" s="73"/>
      <c r="AL31" s="35"/>
      <c r="AM31" s="35"/>
      <c r="AN31" s="72"/>
      <c r="AO31" s="73"/>
      <c r="AP31" s="35"/>
      <c r="AQ31" s="35"/>
      <c r="AR31" s="72"/>
      <c r="AS31" s="73"/>
      <c r="AT31" s="35"/>
      <c r="AU31" s="35"/>
      <c r="AV31" s="72"/>
      <c r="AW31" s="73"/>
      <c r="AX31" s="35"/>
      <c r="AY31" s="35"/>
      <c r="AZ31" s="72"/>
      <c r="BA31" s="73"/>
      <c r="BB31" s="35"/>
      <c r="BC31" s="35"/>
      <c r="BD31" s="72"/>
      <c r="BE31" s="73"/>
      <c r="BF31" s="35"/>
      <c r="BG31" s="35"/>
      <c r="BH31" s="72"/>
      <c r="BI31" s="73"/>
      <c r="BJ31" s="35"/>
      <c r="BK31" s="35"/>
      <c r="BL31" s="72"/>
      <c r="BM31" s="73"/>
      <c r="BN31" s="35"/>
      <c r="BO31" s="35"/>
      <c r="BP31" s="72"/>
      <c r="BQ31" s="73"/>
      <c r="BR31" s="35"/>
      <c r="BS31" s="35"/>
      <c r="BT31" s="72"/>
      <c r="BU31" s="73"/>
      <c r="BV31" s="35"/>
      <c r="BW31" s="35"/>
      <c r="BX31" s="72"/>
      <c r="BY31" s="73"/>
      <c r="BZ31" s="35"/>
      <c r="CA31" s="35"/>
      <c r="CB31" s="72"/>
      <c r="CC31" s="73"/>
      <c r="CD31" s="35"/>
      <c r="CE31" s="35"/>
      <c r="CF31" s="72"/>
      <c r="CG31" s="73"/>
      <c r="CH31" s="35"/>
      <c r="CI31" s="35"/>
      <c r="CJ31" s="72"/>
      <c r="CK31" s="73"/>
      <c r="CL31" s="35"/>
      <c r="CM31" s="35"/>
      <c r="CN31" s="72"/>
      <c r="CO31" s="73"/>
      <c r="CP31" s="35"/>
      <c r="CQ31" s="35"/>
      <c r="CR31" s="72"/>
      <c r="CS31" s="73"/>
      <c r="CT31" s="35"/>
      <c r="CU31" s="35"/>
      <c r="CV31" s="72"/>
      <c r="CW31" s="73"/>
      <c r="CX31" s="35"/>
      <c r="CY31" s="35"/>
      <c r="CZ31" s="72"/>
      <c r="DA31" s="73"/>
      <c r="DB31" s="35"/>
      <c r="DC31" s="35"/>
      <c r="DD31" s="72"/>
      <c r="DE31" s="73"/>
      <c r="DF31" s="35"/>
      <c r="DG31" s="35"/>
      <c r="DH31" s="72"/>
      <c r="DI31" s="73"/>
      <c r="DJ31" s="35"/>
      <c r="DK31" s="35"/>
      <c r="DL31" s="35"/>
      <c r="DM31" s="35"/>
      <c r="DN31" s="35"/>
      <c r="DO31" s="72"/>
      <c r="DP31" s="73"/>
      <c r="DQ31" s="35"/>
      <c r="DR31" s="35"/>
      <c r="DS31" s="72"/>
      <c r="DT31" s="73"/>
      <c r="DU31" s="35"/>
      <c r="DV31" s="35"/>
    </row>
    <row r="32" spans="1:126" ht="12.75" customHeight="1" x14ac:dyDescent="0.2">
      <c r="A32" s="6" t="s">
        <v>138</v>
      </c>
      <c r="B32" s="65"/>
      <c r="C32" s="7"/>
      <c r="D32" s="8"/>
      <c r="E32" s="56"/>
      <c r="G32" s="7"/>
      <c r="H32" s="8"/>
      <c r="I32" s="56"/>
      <c r="K32" s="7"/>
      <c r="L32" s="8"/>
      <c r="M32" s="56"/>
      <c r="O32" s="7"/>
      <c r="P32" s="8"/>
      <c r="R32" s="56"/>
      <c r="T32" s="7"/>
      <c r="U32" s="8"/>
      <c r="V32" s="56"/>
      <c r="X32" s="7"/>
      <c r="Y32" s="8"/>
      <c r="Z32" s="56"/>
      <c r="AB32" s="7"/>
      <c r="AC32" s="8"/>
      <c r="AF32" s="7"/>
      <c r="AG32" s="8"/>
      <c r="AH32" s="56"/>
      <c r="AJ32" s="7"/>
      <c r="AK32" s="8"/>
      <c r="AL32" s="56"/>
      <c r="AN32" s="7"/>
      <c r="AO32" s="8"/>
      <c r="AP32" s="56"/>
      <c r="AR32" s="7"/>
      <c r="AS32" s="8"/>
      <c r="AT32" s="56"/>
      <c r="AV32" s="7"/>
      <c r="AW32" s="8"/>
      <c r="AX32" s="56"/>
      <c r="AZ32" s="7"/>
      <c r="BA32" s="8"/>
      <c r="BB32" s="56"/>
      <c r="BD32" s="7"/>
      <c r="BE32" s="8"/>
      <c r="BF32" s="56"/>
      <c r="BH32" s="7"/>
      <c r="BI32" s="8"/>
      <c r="BJ32" s="56"/>
      <c r="BL32" s="7"/>
      <c r="BM32" s="8"/>
      <c r="BN32" s="56"/>
      <c r="BP32" s="7"/>
      <c r="BQ32" s="8"/>
      <c r="BR32" s="56"/>
      <c r="BT32" s="7"/>
      <c r="BU32" s="8"/>
      <c r="BX32" s="7"/>
      <c r="BY32" s="8"/>
      <c r="BZ32" s="56"/>
      <c r="CB32" s="7"/>
      <c r="CC32" s="8"/>
      <c r="CD32" s="56"/>
      <c r="CF32" s="7"/>
      <c r="CG32" s="8"/>
      <c r="CH32" s="56"/>
      <c r="CJ32" s="7"/>
      <c r="CK32" s="8"/>
      <c r="CL32" s="56"/>
      <c r="CN32" s="7"/>
      <c r="CO32" s="8"/>
      <c r="CP32" s="56"/>
      <c r="CR32" s="7"/>
      <c r="CS32" s="8"/>
      <c r="CT32" s="56"/>
      <c r="CV32" s="7"/>
      <c r="CW32" s="8"/>
      <c r="CX32" s="56"/>
      <c r="CY32" s="56"/>
      <c r="CZ32" s="7"/>
      <c r="DA32" s="8"/>
      <c r="DB32" s="56"/>
      <c r="DD32" s="7"/>
      <c r="DE32" s="8"/>
      <c r="DF32" s="56"/>
      <c r="DH32" s="7"/>
      <c r="DI32" s="8"/>
      <c r="DJ32" s="56"/>
      <c r="DL32" s="56"/>
      <c r="DM32" s="56"/>
      <c r="DO32" s="7"/>
      <c r="DP32" s="8"/>
      <c r="DQ32" s="56"/>
      <c r="DS32" s="7"/>
      <c r="DT32" s="8"/>
      <c r="DU32" s="56"/>
    </row>
    <row r="33" spans="1:177" ht="12.75" customHeight="1" x14ac:dyDescent="0.2">
      <c r="A33" s="75"/>
      <c r="B33" s="33" t="s">
        <v>139</v>
      </c>
      <c r="C33" s="7"/>
      <c r="D33" s="8"/>
      <c r="E33" s="56">
        <f>18539.804</f>
        <v>18539.804</v>
      </c>
      <c r="F33" s="56"/>
      <c r="G33" s="7"/>
      <c r="H33" s="8"/>
      <c r="I33" s="56">
        <v>0</v>
      </c>
      <c r="J33" s="56">
        <v>0</v>
      </c>
      <c r="K33" s="7"/>
      <c r="L33" s="8"/>
      <c r="M33" s="56">
        <f>274470+651</f>
        <v>275121</v>
      </c>
      <c r="N33" s="56">
        <f>253780+105</f>
        <v>253885</v>
      </c>
      <c r="O33" s="7"/>
      <c r="P33" s="8"/>
      <c r="Q33" s="56">
        <f>1722+6709</f>
        <v>8431</v>
      </c>
      <c r="R33" s="56">
        <v>26171.316999999999</v>
      </c>
      <c r="S33" s="56">
        <v>25615.227999999999</v>
      </c>
      <c r="T33" s="7"/>
      <c r="U33" s="8"/>
      <c r="V33" s="56">
        <f>98784+74387</f>
        <v>173171</v>
      </c>
      <c r="W33" s="56">
        <f>46790+43109</f>
        <v>89899</v>
      </c>
      <c r="X33" s="7"/>
      <c r="Y33" s="8"/>
      <c r="Z33" s="56">
        <v>35870.446000000004</v>
      </c>
      <c r="AA33" s="56">
        <v>36543.033000000003</v>
      </c>
      <c r="AB33" s="7"/>
      <c r="AC33" s="8"/>
      <c r="AD33" s="56">
        <f>26056.331+869.442</f>
        <v>26925.772999999997</v>
      </c>
      <c r="AE33" s="56">
        <f>18314.81+813.466</f>
        <v>19128.276000000002</v>
      </c>
      <c r="AF33" s="7"/>
      <c r="AG33" s="8"/>
      <c r="AH33" s="56">
        <f>9993+235419+59990</f>
        <v>305402</v>
      </c>
      <c r="AI33" s="56">
        <f>72950+74000+92033+34995</f>
        <v>273978</v>
      </c>
      <c r="AJ33" s="7"/>
      <c r="AK33" s="8"/>
      <c r="AL33" s="56">
        <v>859.27700000000004</v>
      </c>
      <c r="AM33" s="56">
        <v>0</v>
      </c>
      <c r="AN33" s="7"/>
      <c r="AO33" s="8"/>
      <c r="AP33" s="56">
        <f>20095.375+1081.092</f>
        <v>21176.467000000001</v>
      </c>
      <c r="AQ33" s="56">
        <f>3548.603+695</f>
        <v>4243.6030000000001</v>
      </c>
      <c r="AR33" s="7"/>
      <c r="AS33" s="8"/>
      <c r="AT33" s="56">
        <f>46512.474</f>
        <v>46512.474000000002</v>
      </c>
      <c r="AU33" s="56">
        <f>31385.343</f>
        <v>31385.343000000001</v>
      </c>
      <c r="AV33" s="7"/>
      <c r="AW33" s="8"/>
      <c r="AX33" s="56">
        <v>608726</v>
      </c>
      <c r="AY33" s="56">
        <v>526206</v>
      </c>
      <c r="AZ33" s="7"/>
      <c r="BA33" s="8"/>
      <c r="BB33" s="35">
        <v>232.60400000000001</v>
      </c>
      <c r="BC33" s="56"/>
      <c r="BD33" s="7"/>
      <c r="BE33" s="8"/>
      <c r="BF33" s="56"/>
      <c r="BG33" s="56"/>
      <c r="BH33" s="7"/>
      <c r="BI33" s="8"/>
      <c r="BJ33" s="56">
        <f>0</f>
        <v>0</v>
      </c>
      <c r="BK33" s="56">
        <v>0</v>
      </c>
      <c r="BL33" s="7"/>
      <c r="BM33" s="8"/>
      <c r="BN33" s="56">
        <f>815.236+1325.485</f>
        <v>2140.721</v>
      </c>
      <c r="BO33" s="56">
        <f>2153.77</f>
        <v>2153.77</v>
      </c>
      <c r="BP33" s="7"/>
      <c r="BQ33" s="8"/>
      <c r="BR33" s="56">
        <v>31576.224999999999</v>
      </c>
      <c r="BS33" s="56">
        <v>36172.195</v>
      </c>
      <c r="BT33" s="7"/>
      <c r="BU33" s="8"/>
      <c r="BV33" s="56">
        <v>9602.64</v>
      </c>
      <c r="BW33" s="56">
        <v>9061.4279999999999</v>
      </c>
      <c r="BX33" s="7"/>
      <c r="BY33" s="8"/>
      <c r="BZ33" s="56">
        <v>0</v>
      </c>
      <c r="CA33" s="56">
        <v>0</v>
      </c>
      <c r="CB33" s="7"/>
      <c r="CC33" s="8"/>
      <c r="CD33" s="56">
        <f>46502.516</f>
        <v>46502.516000000003</v>
      </c>
      <c r="CE33" s="56">
        <v>38202.764000000003</v>
      </c>
      <c r="CF33" s="7"/>
      <c r="CG33" s="8"/>
      <c r="CH33" s="56"/>
      <c r="CI33" s="56"/>
      <c r="CJ33" s="7"/>
      <c r="CK33" s="8"/>
      <c r="CL33" s="56">
        <v>0</v>
      </c>
      <c r="CM33" s="56">
        <v>0</v>
      </c>
      <c r="CN33" s="7"/>
      <c r="CO33" s="8"/>
      <c r="CP33" s="56">
        <v>19419.679</v>
      </c>
      <c r="CQ33" s="56">
        <v>16715.845000000001</v>
      </c>
      <c r="CR33" s="7"/>
      <c r="CS33" s="8"/>
      <c r="CT33" s="56">
        <f>15557+112387+2180</f>
        <v>130124</v>
      </c>
      <c r="CU33" s="56">
        <f>17293+93381+7561</f>
        <v>118235</v>
      </c>
      <c r="CV33" s="7"/>
      <c r="CW33" s="8"/>
      <c r="CX33" s="56">
        <f>11000</f>
        <v>11000</v>
      </c>
      <c r="CY33" s="56">
        <f>3000+11000</f>
        <v>14000</v>
      </c>
      <c r="CZ33" s="7"/>
      <c r="DA33" s="8"/>
      <c r="DB33" s="56"/>
      <c r="DC33" s="56"/>
      <c r="DD33" s="7"/>
      <c r="DE33" s="8"/>
      <c r="DF33" s="56">
        <v>87097.051999999996</v>
      </c>
      <c r="DG33" s="56">
        <v>97239.248000000007</v>
      </c>
      <c r="DH33" s="7"/>
      <c r="DI33" s="8"/>
      <c r="DJ33" s="56">
        <f>758371+6390401</f>
        <v>7148772</v>
      </c>
      <c r="DK33" s="56">
        <f>494783+5359034</f>
        <v>5853817</v>
      </c>
      <c r="DL33" s="56"/>
      <c r="DM33" s="56">
        <f>1469443+4166407</f>
        <v>5635850</v>
      </c>
      <c r="DN33" s="56">
        <f>2461485+1185</f>
        <v>2462670</v>
      </c>
      <c r="DO33" s="7"/>
      <c r="DP33" s="8"/>
      <c r="DQ33" s="56">
        <v>1462.9829999999999</v>
      </c>
      <c r="DR33" s="56">
        <v>260.63600000000002</v>
      </c>
      <c r="DS33" s="7"/>
      <c r="DT33" s="8"/>
      <c r="DU33" s="56">
        <f>277005.107</f>
        <v>277005.10700000002</v>
      </c>
      <c r="DV33" s="56">
        <v>350132.94900000002</v>
      </c>
    </row>
    <row r="34" spans="1:177" s="74" customFormat="1" ht="12.75" customHeight="1" x14ac:dyDescent="0.2">
      <c r="A34" s="79"/>
      <c r="B34" s="33" t="s">
        <v>140</v>
      </c>
      <c r="C34" s="52"/>
      <c r="D34" s="53"/>
      <c r="E34" s="56">
        <v>3299.5940000000001</v>
      </c>
      <c r="F34" s="56"/>
      <c r="G34" s="52"/>
      <c r="H34" s="53"/>
      <c r="I34" s="56">
        <v>0</v>
      </c>
      <c r="J34" s="56">
        <v>0</v>
      </c>
      <c r="K34" s="52"/>
      <c r="L34" s="53"/>
      <c r="M34" s="56">
        <v>0</v>
      </c>
      <c r="N34" s="56">
        <v>32360</v>
      </c>
      <c r="O34" s="52"/>
      <c r="P34" s="53"/>
      <c r="Q34" s="56">
        <f>10604+26377</f>
        <v>36981</v>
      </c>
      <c r="R34" s="56">
        <v>8653.76</v>
      </c>
      <c r="S34" s="56">
        <v>6283.8980000000001</v>
      </c>
      <c r="T34" s="52"/>
      <c r="U34" s="53"/>
      <c r="V34" s="56">
        <f>75093+19832</f>
        <v>94925</v>
      </c>
      <c r="W34" s="56">
        <f>54491+16013</f>
        <v>70504</v>
      </c>
      <c r="X34" s="52"/>
      <c r="Y34" s="53"/>
      <c r="Z34" s="56">
        <v>20059.137999999999</v>
      </c>
      <c r="AA34" s="56">
        <v>19220.260999999999</v>
      </c>
      <c r="AB34" s="52"/>
      <c r="AC34" s="53"/>
      <c r="AD34" s="56">
        <f>22089.667+1511.176</f>
        <v>23600.843000000001</v>
      </c>
      <c r="AE34" s="56">
        <f>18364.076+1242.503</f>
        <v>19606.579000000002</v>
      </c>
      <c r="AF34" s="52"/>
      <c r="AG34" s="53"/>
      <c r="AH34" s="56">
        <f>9500+900</f>
        <v>10400</v>
      </c>
      <c r="AI34" s="56">
        <f>69975</f>
        <v>69975</v>
      </c>
      <c r="AJ34" s="52"/>
      <c r="AK34" s="53"/>
      <c r="AL34" s="56">
        <f>4278.871+374.352</f>
        <v>4653.223</v>
      </c>
      <c r="AM34" s="56">
        <v>0</v>
      </c>
      <c r="AN34" s="52"/>
      <c r="AO34" s="53"/>
      <c r="AP34" s="56">
        <f>12313.34+200</f>
        <v>12513.34</v>
      </c>
      <c r="AQ34" s="56">
        <f>3185.297</f>
        <v>3185.297</v>
      </c>
      <c r="AR34" s="52"/>
      <c r="AS34" s="53"/>
      <c r="AT34" s="56">
        <f>82389.446</f>
        <v>82389.445999999996</v>
      </c>
      <c r="AU34" s="56">
        <f>39903.075</f>
        <v>39903.074999999997</v>
      </c>
      <c r="AV34" s="52"/>
      <c r="AW34" s="53"/>
      <c r="AX34" s="56">
        <f>34165+7541+2548</f>
        <v>44254</v>
      </c>
      <c r="AY34" s="56">
        <f>30064+5536+4212</f>
        <v>39812</v>
      </c>
      <c r="AZ34" s="52"/>
      <c r="BA34" s="53"/>
      <c r="BB34" s="56">
        <v>97.418000000000006</v>
      </c>
      <c r="BC34" s="56"/>
      <c r="BD34" s="52"/>
      <c r="BE34" s="53"/>
      <c r="BF34" s="56"/>
      <c r="BG34" s="56"/>
      <c r="BH34" s="52"/>
      <c r="BI34" s="53"/>
      <c r="BJ34" s="56">
        <v>11000</v>
      </c>
      <c r="BK34" s="56">
        <v>11000</v>
      </c>
      <c r="BL34" s="52"/>
      <c r="BM34" s="53"/>
      <c r="BN34" s="56">
        <f>707.435</f>
        <v>707.43499999999995</v>
      </c>
      <c r="BO34" s="56">
        <v>0</v>
      </c>
      <c r="BP34" s="52"/>
      <c r="BQ34" s="53"/>
      <c r="BR34" s="56">
        <v>0</v>
      </c>
      <c r="BS34" s="56">
        <v>0</v>
      </c>
      <c r="BT34" s="52"/>
      <c r="BU34" s="53"/>
      <c r="BV34" s="56">
        <v>25149.225999999999</v>
      </c>
      <c r="BW34" s="56">
        <v>21237.199000000001</v>
      </c>
      <c r="BX34" s="52"/>
      <c r="BY34" s="53"/>
      <c r="BZ34" s="56">
        <f>581+361925</f>
        <v>362506</v>
      </c>
      <c r="CA34" s="56">
        <f>752+348102</f>
        <v>348854</v>
      </c>
      <c r="CB34" s="52"/>
      <c r="CC34" s="53"/>
      <c r="CD34" s="56">
        <f>674981.04</f>
        <v>674981.04</v>
      </c>
      <c r="CE34" s="56">
        <v>602205.41700000002</v>
      </c>
      <c r="CF34" s="52"/>
      <c r="CG34" s="53"/>
      <c r="CH34" s="56"/>
      <c r="CI34" s="56"/>
      <c r="CJ34" s="52"/>
      <c r="CK34" s="53"/>
      <c r="CL34" s="56">
        <v>1405630</v>
      </c>
      <c r="CM34" s="56">
        <v>1252740</v>
      </c>
      <c r="CN34" s="52"/>
      <c r="CO34" s="53"/>
      <c r="CP34" s="56">
        <f>13820.428</f>
        <v>13820.428</v>
      </c>
      <c r="CQ34" s="56">
        <v>13500.796</v>
      </c>
      <c r="CR34" s="52"/>
      <c r="CS34" s="53"/>
      <c r="CT34" s="56">
        <f>47143+14125+4156+1678</f>
        <v>67102</v>
      </c>
      <c r="CU34" s="56">
        <f>64011+2435+10887+4285</f>
        <v>81618</v>
      </c>
      <c r="CV34" s="52"/>
      <c r="CW34" s="53"/>
      <c r="CX34" s="56">
        <v>41081</v>
      </c>
      <c r="CY34" s="56">
        <f>41149</f>
        <v>41149</v>
      </c>
      <c r="CZ34" s="52"/>
      <c r="DA34" s="53"/>
      <c r="DB34" s="56"/>
      <c r="DC34" s="56"/>
      <c r="DD34" s="52"/>
      <c r="DE34" s="53"/>
      <c r="DF34" s="56">
        <v>164822.04199999999</v>
      </c>
      <c r="DG34" s="56">
        <v>91644.904999999999</v>
      </c>
      <c r="DH34" s="52"/>
      <c r="DI34" s="53"/>
      <c r="DJ34" s="56">
        <f>3018856</f>
        <v>3018856</v>
      </c>
      <c r="DK34" s="56">
        <f>3845264</f>
        <v>3845264</v>
      </c>
      <c r="DL34" s="56"/>
      <c r="DM34" s="56">
        <f>3866483</f>
        <v>3866483</v>
      </c>
      <c r="DN34" s="56">
        <v>2990922</v>
      </c>
      <c r="DO34" s="52"/>
      <c r="DP34" s="53"/>
      <c r="DQ34" s="56">
        <v>3681.835</v>
      </c>
      <c r="DR34" s="56">
        <v>2347.0160000000001</v>
      </c>
      <c r="DS34" s="52"/>
      <c r="DT34" s="53"/>
      <c r="DU34" s="56">
        <v>150000</v>
      </c>
      <c r="DV34" s="56">
        <v>50000</v>
      </c>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row>
    <row r="35" spans="1:177" s="13" customFormat="1" ht="12.75" customHeight="1" x14ac:dyDescent="0.2">
      <c r="A35" s="6"/>
      <c r="B35" s="65" t="s">
        <v>141</v>
      </c>
      <c r="C35" s="7"/>
      <c r="D35" s="8"/>
      <c r="E35" s="51">
        <f>E37-E36-SUM(E33:E34)</f>
        <v>551.92399999999907</v>
      </c>
      <c r="F35" s="51"/>
      <c r="G35" s="7"/>
      <c r="H35" s="8"/>
      <c r="I35" s="51">
        <f>I37-I36-SUM(I33:I34)</f>
        <v>256995.753</v>
      </c>
      <c r="J35" s="51">
        <f>J37-J36-SUM(J33:J34)</f>
        <v>257000.853</v>
      </c>
      <c r="K35" s="7"/>
      <c r="L35" s="8"/>
      <c r="M35" s="51">
        <f>M37-M36-SUM(M33:M34)</f>
        <v>26287</v>
      </c>
      <c r="N35" s="51">
        <f>N37-N36-SUM(N33:N34)</f>
        <v>25351</v>
      </c>
      <c r="O35" s="7"/>
      <c r="P35" s="8"/>
      <c r="Q35" s="51">
        <f>Q37-Q36-SUM(Q33:Q34)</f>
        <v>2362</v>
      </c>
      <c r="R35" s="51">
        <f>R37-R36-SUM(R33:R34)</f>
        <v>2243.2969999999987</v>
      </c>
      <c r="S35" s="51">
        <f>S37-S36-SUM(S33:S34)</f>
        <v>1825.2350000000042</v>
      </c>
      <c r="T35" s="7"/>
      <c r="U35" s="8"/>
      <c r="V35" s="51">
        <f>V37-V36-SUM(V33:V34)</f>
        <v>4600</v>
      </c>
      <c r="W35" s="51">
        <f>W37-W36-SUM(W33:W34)</f>
        <v>12118</v>
      </c>
      <c r="X35" s="7"/>
      <c r="Y35" s="8"/>
      <c r="Z35" s="51">
        <f>Z37-Z33-Z34-Z36</f>
        <v>26139.547999999995</v>
      </c>
      <c r="AA35" s="51">
        <f>AA37-AA33-AA34-AA36</f>
        <v>6332.262999999999</v>
      </c>
      <c r="AB35" s="7"/>
      <c r="AC35" s="8"/>
      <c r="AD35" s="51">
        <f>AD37-AD33-AD34-AD36</f>
        <v>834.76100000000042</v>
      </c>
      <c r="AE35" s="51">
        <f>AE37-AE33-AE34-AE36</f>
        <v>798.07799999999861</v>
      </c>
      <c r="AF35" s="7"/>
      <c r="AG35" s="8"/>
      <c r="AH35" s="51">
        <f>AH37-AH33-AH34-AH36</f>
        <v>86352</v>
      </c>
      <c r="AI35" s="51">
        <f>AI37-AI33-AI34-AI36</f>
        <v>43336</v>
      </c>
      <c r="AJ35" s="7"/>
      <c r="AK35" s="8"/>
      <c r="AL35" s="51">
        <f>AL37-AL33-AL34-AL36</f>
        <v>63.132999999999811</v>
      </c>
      <c r="AM35" s="51">
        <f>AM37-AM33-AM34-AM36</f>
        <v>1</v>
      </c>
      <c r="AN35" s="7"/>
      <c r="AO35" s="8"/>
      <c r="AP35" s="51">
        <f>AP37-AP33-AP34-AP36</f>
        <v>33.741000000002259</v>
      </c>
      <c r="AQ35" s="51">
        <f>AQ37-AQ33-AQ34-AQ36</f>
        <v>83.110999999999308</v>
      </c>
      <c r="AR35" s="7"/>
      <c r="AS35" s="8"/>
      <c r="AT35" s="51">
        <f>AT37-AT33-AT34-AT36</f>
        <v>2349.4830000000075</v>
      </c>
      <c r="AU35" s="51">
        <f>AU37-AU33-AU34-AU36</f>
        <v>976.47699999999531</v>
      </c>
      <c r="AV35" s="7"/>
      <c r="AW35" s="8"/>
      <c r="AX35" s="51">
        <f>AX37-AX33-AX34-AX36</f>
        <v>35745</v>
      </c>
      <c r="AY35" s="51">
        <f>AY37-AY33-AY34-AY36</f>
        <v>33556</v>
      </c>
      <c r="AZ35" s="7"/>
      <c r="BA35" s="8"/>
      <c r="BB35" s="51">
        <f>BB37-BB33-BB34-BB36</f>
        <v>19.438999999999965</v>
      </c>
      <c r="BC35" s="51"/>
      <c r="BD35" s="7"/>
      <c r="BE35" s="8"/>
      <c r="BF35" s="51"/>
      <c r="BG35" s="51"/>
      <c r="BH35" s="7"/>
      <c r="BI35" s="8"/>
      <c r="BJ35" s="51">
        <f>BJ37-BJ33-BJ34-BJ36</f>
        <v>10805.19</v>
      </c>
      <c r="BK35" s="51">
        <f>BK37-BK33-BK34-BK36</f>
        <v>202.18200000000056</v>
      </c>
      <c r="BL35" s="7"/>
      <c r="BM35" s="8"/>
      <c r="BN35" s="51">
        <f>BN37-BN33-BN34-BN36</f>
        <v>346.90200000000004</v>
      </c>
      <c r="BO35" s="51">
        <f>BO37-BO33-BO34-BO36</f>
        <v>399.00099999999998</v>
      </c>
      <c r="BP35" s="7"/>
      <c r="BQ35" s="8"/>
      <c r="BR35" s="51">
        <f>BR37-BR33-BR34-BR36</f>
        <v>245.5639999999994</v>
      </c>
      <c r="BS35" s="51">
        <f>BS37-BS33-BS34-BS36</f>
        <v>276.06900000000223</v>
      </c>
      <c r="BT35" s="7"/>
      <c r="BU35" s="8"/>
      <c r="BV35" s="51">
        <f>BV37-BV33-BV36-BV34</f>
        <v>563.41599999999744</v>
      </c>
      <c r="BW35" s="51">
        <f>BW37-BW33-BW36-BW34</f>
        <v>420.34799999999814</v>
      </c>
      <c r="BX35" s="7"/>
      <c r="BY35" s="8"/>
      <c r="BZ35" s="51">
        <f>BZ37-BZ33-BZ36-BZ34</f>
        <v>5167</v>
      </c>
      <c r="CA35" s="51">
        <f>CA37-CA33-CA36-CA34</f>
        <v>5194</v>
      </c>
      <c r="CB35" s="7"/>
      <c r="CC35" s="8"/>
      <c r="CD35" s="51">
        <f>CD37-CD33-CD34-CD36</f>
        <v>39648.891999999963</v>
      </c>
      <c r="CE35" s="51">
        <f>CE37-CE33-CE34-CE36</f>
        <v>36088.77500000006</v>
      </c>
      <c r="CF35" s="7"/>
      <c r="CG35" s="8"/>
      <c r="CH35" s="51"/>
      <c r="CI35" s="51"/>
      <c r="CJ35" s="7"/>
      <c r="CK35" s="8"/>
      <c r="CL35" s="51">
        <f>CL37-CL33-CL34-CL36</f>
        <v>10759</v>
      </c>
      <c r="CM35" s="51">
        <f>CM37-CM33-CM34-CM36</f>
        <v>6054</v>
      </c>
      <c r="CN35" s="7"/>
      <c r="CO35" s="8"/>
      <c r="CP35" s="51">
        <f>CP37-CP33-CP34-CP36</f>
        <v>2489.0679999999984</v>
      </c>
      <c r="CQ35" s="51">
        <f>CQ37-CQ33-CQ34-CQ36</f>
        <v>2734.3089999999975</v>
      </c>
      <c r="CR35" s="7"/>
      <c r="CS35" s="8"/>
      <c r="CT35" s="51">
        <f>CT37-CT33-CT34-CT36</f>
        <v>14154</v>
      </c>
      <c r="CU35" s="51">
        <f>CU37-CU33-CU34-CU36</f>
        <v>4151</v>
      </c>
      <c r="CV35" s="7"/>
      <c r="CW35" s="8"/>
      <c r="CX35" s="51">
        <f>CX37-CX33-CX34-CX36</f>
        <v>29145</v>
      </c>
      <c r="CY35" s="51">
        <f>CY37-CY33-CY34-CY36</f>
        <v>30121</v>
      </c>
      <c r="CZ35" s="7"/>
      <c r="DA35" s="8"/>
      <c r="DB35" s="51"/>
      <c r="DC35" s="51"/>
      <c r="DD35" s="7"/>
      <c r="DE35" s="8"/>
      <c r="DF35" s="51">
        <f>DF37-DF33-DF34-DF36</f>
        <v>20541.664000000004</v>
      </c>
      <c r="DG35" s="51">
        <f>DG37-DG33-DG34-DG36</f>
        <v>9394.2820000000065</v>
      </c>
      <c r="DH35" s="7"/>
      <c r="DI35" s="8"/>
      <c r="DJ35" s="51">
        <f>DJ37-DJ33-DJ34-DJ36</f>
        <v>66780</v>
      </c>
      <c r="DK35" s="51">
        <f>DK37-DK33-DK34-DK36</f>
        <v>86782</v>
      </c>
      <c r="DL35" s="51"/>
      <c r="DM35" s="51">
        <f>DM37-DM33-DM34-DM36</f>
        <v>90115</v>
      </c>
      <c r="DN35" s="51">
        <f>DN37-DN33-DN34-DN36</f>
        <v>1242508</v>
      </c>
      <c r="DO35" s="7"/>
      <c r="DP35" s="8"/>
      <c r="DQ35" s="51">
        <f>DQ37-DQ33-DQ34-DQ36</f>
        <v>1074.1129999999998</v>
      </c>
      <c r="DR35" s="51">
        <f>DR37-DR33-DR34-DR36</f>
        <v>296.43800000000005</v>
      </c>
      <c r="DS35" s="7"/>
      <c r="DT35" s="8"/>
      <c r="DU35" s="51">
        <f>DU37-DU33-DU34-DU36</f>
        <v>24683.82100000004</v>
      </c>
      <c r="DV35" s="51">
        <f>DV37-DV33-DV34-DV36</f>
        <v>23848.727999999988</v>
      </c>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row>
    <row r="36" spans="1:177" ht="12.75" customHeight="1" x14ac:dyDescent="0.2">
      <c r="A36" s="58"/>
      <c r="B36" s="39" t="s">
        <v>142</v>
      </c>
      <c r="C36" s="63"/>
      <c r="D36" s="64"/>
      <c r="E36" s="43">
        <v>1818.722</v>
      </c>
      <c r="F36" s="43"/>
      <c r="G36" s="63"/>
      <c r="H36" s="64"/>
      <c r="I36" s="43">
        <v>10.218</v>
      </c>
      <c r="J36" s="43">
        <v>3.5369999999999999</v>
      </c>
      <c r="K36" s="63"/>
      <c r="L36" s="64"/>
      <c r="M36" s="43">
        <f>49785</f>
        <v>49785</v>
      </c>
      <c r="N36" s="43">
        <v>20348</v>
      </c>
      <c r="O36" s="63"/>
      <c r="P36" s="64"/>
      <c r="Q36" s="43">
        <v>3415</v>
      </c>
      <c r="R36" s="43">
        <v>2524.9650000000001</v>
      </c>
      <c r="S36" s="43">
        <v>2687.96</v>
      </c>
      <c r="T36" s="63"/>
      <c r="U36" s="64"/>
      <c r="V36" s="43">
        <v>22704</v>
      </c>
      <c r="W36" s="43">
        <v>13473</v>
      </c>
      <c r="X36" s="63"/>
      <c r="Y36" s="64"/>
      <c r="Z36" s="43">
        <f>10905.311</f>
        <v>10905.311</v>
      </c>
      <c r="AA36" s="43">
        <v>9272.11</v>
      </c>
      <c r="AB36" s="63"/>
      <c r="AC36" s="64"/>
      <c r="AD36" s="43">
        <f>10341.756</f>
        <v>10341.755999999999</v>
      </c>
      <c r="AE36" s="43">
        <f>4853.435</f>
        <v>4853.4350000000004</v>
      </c>
      <c r="AF36" s="63"/>
      <c r="AG36" s="64"/>
      <c r="AH36" s="43">
        <v>32617</v>
      </c>
      <c r="AI36" s="43">
        <v>26782</v>
      </c>
      <c r="AJ36" s="63"/>
      <c r="AK36" s="64"/>
      <c r="AL36" s="43">
        <f>101</f>
        <v>101</v>
      </c>
      <c r="AM36" s="43">
        <v>0</v>
      </c>
      <c r="AN36" s="63"/>
      <c r="AO36" s="64"/>
      <c r="AP36" s="43">
        <f>2664.002</f>
        <v>2664.002</v>
      </c>
      <c r="AQ36" s="43">
        <v>579.39700000000005</v>
      </c>
      <c r="AR36" s="63"/>
      <c r="AS36" s="64"/>
      <c r="AT36" s="43">
        <f>16443.477</f>
        <v>16443.476999999999</v>
      </c>
      <c r="AU36" s="43">
        <f>8723.391</f>
        <v>8723.3909999999996</v>
      </c>
      <c r="AV36" s="63"/>
      <c r="AW36" s="64"/>
      <c r="AX36" s="43">
        <v>70340</v>
      </c>
      <c r="AY36" s="43">
        <v>62581</v>
      </c>
      <c r="AZ36" s="63"/>
      <c r="BA36" s="64"/>
      <c r="BB36" s="43">
        <v>489.1</v>
      </c>
      <c r="BC36" s="43"/>
      <c r="BD36" s="63"/>
      <c r="BE36" s="64"/>
      <c r="BF36" s="43"/>
      <c r="BG36" s="43"/>
      <c r="BH36" s="63"/>
      <c r="BI36" s="64"/>
      <c r="BJ36" s="43">
        <v>18.045000000000002</v>
      </c>
      <c r="BK36" s="43">
        <v>4.0350000000000001</v>
      </c>
      <c r="BL36" s="63"/>
      <c r="BM36" s="64"/>
      <c r="BN36" s="43">
        <v>1103.951</v>
      </c>
      <c r="BO36" s="43">
        <v>157.86500000000001</v>
      </c>
      <c r="BP36" s="63"/>
      <c r="BQ36" s="64"/>
      <c r="BR36" s="43">
        <v>5778.7730000000001</v>
      </c>
      <c r="BS36" s="43">
        <v>4617.6400000000003</v>
      </c>
      <c r="BT36" s="63"/>
      <c r="BU36" s="64"/>
      <c r="BV36" s="43">
        <f>5268.772</f>
        <v>5268.7719999999999</v>
      </c>
      <c r="BW36" s="43">
        <v>5073.2240000000002</v>
      </c>
      <c r="BX36" s="63"/>
      <c r="BY36" s="64"/>
      <c r="BZ36" s="43">
        <f>39515</f>
        <v>39515</v>
      </c>
      <c r="CA36" s="43">
        <v>36299</v>
      </c>
      <c r="CB36" s="63"/>
      <c r="CC36" s="64"/>
      <c r="CD36" s="43">
        <f>64005.318</f>
        <v>64005.317999999999</v>
      </c>
      <c r="CE36" s="43">
        <v>53676.637999999999</v>
      </c>
      <c r="CF36" s="63"/>
      <c r="CG36" s="64"/>
      <c r="CH36" s="43"/>
      <c r="CI36" s="43"/>
      <c r="CJ36" s="63"/>
      <c r="CK36" s="64"/>
      <c r="CL36" s="43">
        <v>97531</v>
      </c>
      <c r="CM36" s="43">
        <v>84876</v>
      </c>
      <c r="CN36" s="63"/>
      <c r="CO36" s="64"/>
      <c r="CP36" s="43">
        <f>3628.603</f>
        <v>3628.6030000000001</v>
      </c>
      <c r="CQ36" s="43">
        <v>3263.5079999999998</v>
      </c>
      <c r="CR36" s="63"/>
      <c r="CS36" s="64"/>
      <c r="CT36" s="43">
        <v>9235</v>
      </c>
      <c r="CU36" s="43">
        <v>11061</v>
      </c>
      <c r="CV36" s="63"/>
      <c r="CW36" s="64"/>
      <c r="CX36" s="43">
        <v>56385</v>
      </c>
      <c r="CY36" s="43">
        <v>36530</v>
      </c>
      <c r="CZ36" s="63"/>
      <c r="DA36" s="64"/>
      <c r="DB36" s="43"/>
      <c r="DC36" s="43"/>
      <c r="DD36" s="63"/>
      <c r="DE36" s="64"/>
      <c r="DF36" s="43">
        <v>46339.167000000001</v>
      </c>
      <c r="DG36" s="43">
        <v>36148.53</v>
      </c>
      <c r="DH36" s="63"/>
      <c r="DI36" s="64"/>
      <c r="DJ36" s="43">
        <v>682725</v>
      </c>
      <c r="DK36" s="43">
        <v>689796</v>
      </c>
      <c r="DL36" s="43"/>
      <c r="DM36" s="43">
        <v>731190</v>
      </c>
      <c r="DN36" s="43">
        <v>663208</v>
      </c>
      <c r="DO36" s="63"/>
      <c r="DP36" s="64"/>
      <c r="DQ36" s="43">
        <v>608.87800000000004</v>
      </c>
      <c r="DR36" s="43">
        <v>476.52199999999999</v>
      </c>
      <c r="DS36" s="63"/>
      <c r="DT36" s="64"/>
      <c r="DU36" s="43">
        <v>82233.631999999998</v>
      </c>
      <c r="DV36" s="43">
        <v>76774.142999999996</v>
      </c>
    </row>
    <row r="37" spans="1:177" ht="12.75" customHeight="1" x14ac:dyDescent="0.2">
      <c r="A37" s="6"/>
      <c r="B37" s="6" t="s">
        <v>143</v>
      </c>
      <c r="C37" s="7"/>
      <c r="D37" s="8"/>
      <c r="E37" s="51">
        <f>E30</f>
        <v>24210.044000000002</v>
      </c>
      <c r="F37" s="51"/>
      <c r="G37" s="7"/>
      <c r="H37" s="8"/>
      <c r="I37" s="51">
        <f>I30</f>
        <v>257005.97099999999</v>
      </c>
      <c r="J37" s="51">
        <f>J30</f>
        <v>257004.39</v>
      </c>
      <c r="K37" s="7"/>
      <c r="L37" s="8"/>
      <c r="M37" s="51">
        <f>M30</f>
        <v>351193</v>
      </c>
      <c r="N37" s="51">
        <f>N30</f>
        <v>331944</v>
      </c>
      <c r="O37" s="7"/>
      <c r="P37" s="8"/>
      <c r="Q37" s="51">
        <f>Q30</f>
        <v>51189</v>
      </c>
      <c r="R37" s="51">
        <f>R30</f>
        <v>39593.339</v>
      </c>
      <c r="S37" s="51">
        <f>S30</f>
        <v>36412.321000000004</v>
      </c>
      <c r="T37" s="7"/>
      <c r="U37" s="8"/>
      <c r="V37" s="51">
        <f>V30</f>
        <v>295400</v>
      </c>
      <c r="W37" s="51">
        <f>W30</f>
        <v>185994</v>
      </c>
      <c r="X37" s="7"/>
      <c r="Y37" s="8"/>
      <c r="Z37" s="51">
        <f>Z30</f>
        <v>92974.442999999999</v>
      </c>
      <c r="AA37" s="51">
        <f>AA30</f>
        <v>71367.667000000001</v>
      </c>
      <c r="AB37" s="7"/>
      <c r="AC37" s="8"/>
      <c r="AD37" s="51">
        <f>AD30</f>
        <v>61703.133000000002</v>
      </c>
      <c r="AE37" s="51">
        <f>AE30</f>
        <v>44386.368000000002</v>
      </c>
      <c r="AF37" s="7"/>
      <c r="AG37" s="8"/>
      <c r="AH37" s="51">
        <f>AH30</f>
        <v>434771</v>
      </c>
      <c r="AI37" s="51">
        <f>AI30</f>
        <v>414071</v>
      </c>
      <c r="AJ37" s="7"/>
      <c r="AK37" s="8"/>
      <c r="AL37" s="51">
        <f>AL30</f>
        <v>5676.6329999999998</v>
      </c>
      <c r="AM37" s="51">
        <f>AM30</f>
        <v>1</v>
      </c>
      <c r="AN37" s="7"/>
      <c r="AO37" s="8"/>
      <c r="AP37" s="51">
        <f>AP30</f>
        <v>36387.550000000003</v>
      </c>
      <c r="AQ37" s="51">
        <f>AQ30</f>
        <v>8091.4079999999994</v>
      </c>
      <c r="AR37" s="7"/>
      <c r="AS37" s="8"/>
      <c r="AT37" s="51">
        <f>AT30</f>
        <v>147694.88</v>
      </c>
      <c r="AU37" s="51">
        <f>AU30</f>
        <v>80988.285999999993</v>
      </c>
      <c r="AV37" s="7"/>
      <c r="AW37" s="8"/>
      <c r="AX37" s="51">
        <f>AX30</f>
        <v>759065</v>
      </c>
      <c r="AY37" s="51">
        <f>AY30</f>
        <v>662155</v>
      </c>
      <c r="AZ37" s="7"/>
      <c r="BA37" s="8"/>
      <c r="BB37" s="51">
        <f>BB30</f>
        <v>838.56100000000004</v>
      </c>
      <c r="BC37" s="51"/>
      <c r="BD37" s="7"/>
      <c r="BE37" s="8"/>
      <c r="BF37" s="51"/>
      <c r="BG37" s="51"/>
      <c r="BH37" s="7"/>
      <c r="BI37" s="8"/>
      <c r="BJ37" s="51">
        <f>BJ30</f>
        <v>21823.235000000001</v>
      </c>
      <c r="BK37" s="51">
        <f>BK30</f>
        <v>11206.217000000001</v>
      </c>
      <c r="BL37" s="7"/>
      <c r="BM37" s="8"/>
      <c r="BN37" s="51">
        <f>BN30</f>
        <v>4299.009</v>
      </c>
      <c r="BO37" s="51">
        <f>BO30</f>
        <v>2710.636</v>
      </c>
      <c r="BP37" s="7"/>
      <c r="BQ37" s="8"/>
      <c r="BR37" s="51">
        <f>BR30</f>
        <v>37600.561999999998</v>
      </c>
      <c r="BS37" s="51">
        <f>BS30</f>
        <v>41065.904000000002</v>
      </c>
      <c r="BT37" s="7"/>
      <c r="BU37" s="8"/>
      <c r="BV37" s="51">
        <f>BV30</f>
        <v>40584.053999999996</v>
      </c>
      <c r="BW37" s="51">
        <f>BW30</f>
        <v>35792.199000000001</v>
      </c>
      <c r="BX37" s="7"/>
      <c r="BY37" s="8"/>
      <c r="BZ37" s="51">
        <f>BZ30</f>
        <v>407188</v>
      </c>
      <c r="CA37" s="51">
        <f>CA30</f>
        <v>390347</v>
      </c>
      <c r="CB37" s="7"/>
      <c r="CC37" s="8"/>
      <c r="CD37" s="51">
        <f>CD30</f>
        <v>825137.76599999995</v>
      </c>
      <c r="CE37" s="51">
        <f>CE30</f>
        <v>730173.59400000004</v>
      </c>
      <c r="CF37" s="7"/>
      <c r="CG37" s="8"/>
      <c r="CH37" s="51"/>
      <c r="CI37" s="51"/>
      <c r="CJ37" s="7"/>
      <c r="CK37" s="8"/>
      <c r="CL37" s="51">
        <f>CL30</f>
        <v>1513920</v>
      </c>
      <c r="CM37" s="51">
        <f>CM30</f>
        <v>1343670</v>
      </c>
      <c r="CN37" s="7"/>
      <c r="CO37" s="8"/>
      <c r="CP37" s="51">
        <f>CP30</f>
        <v>39357.777999999998</v>
      </c>
      <c r="CQ37" s="51">
        <f>CQ30</f>
        <v>36214.457999999999</v>
      </c>
      <c r="CR37" s="7"/>
      <c r="CS37" s="8"/>
      <c r="CT37" s="51">
        <f>CT30</f>
        <v>220615</v>
      </c>
      <c r="CU37" s="51">
        <f>CU30</f>
        <v>215065</v>
      </c>
      <c r="CV37" s="7"/>
      <c r="CW37" s="8"/>
      <c r="CX37" s="51">
        <f>CX30</f>
        <v>137611</v>
      </c>
      <c r="CY37" s="51">
        <f>CY30</f>
        <v>121800</v>
      </c>
      <c r="CZ37" s="7"/>
      <c r="DA37" s="8"/>
      <c r="DB37" s="51"/>
      <c r="DC37" s="51"/>
      <c r="DD37" s="7"/>
      <c r="DE37" s="8"/>
      <c r="DF37" s="51">
        <f>DF30</f>
        <v>318799.92499999999</v>
      </c>
      <c r="DG37" s="51">
        <f>DG30</f>
        <v>234426.965</v>
      </c>
      <c r="DH37" s="7"/>
      <c r="DI37" s="8"/>
      <c r="DJ37" s="51">
        <f>DJ30</f>
        <v>10917133</v>
      </c>
      <c r="DK37" s="51">
        <f>DK30</f>
        <v>10475659</v>
      </c>
      <c r="DL37" s="51"/>
      <c r="DM37" s="51">
        <f>DM30</f>
        <v>10323638</v>
      </c>
      <c r="DN37" s="51">
        <f>DN30</f>
        <v>7359308</v>
      </c>
      <c r="DO37" s="7"/>
      <c r="DP37" s="8"/>
      <c r="DQ37" s="51">
        <f>DQ30</f>
        <v>6827.8090000000002</v>
      </c>
      <c r="DR37" s="51">
        <f>DR30</f>
        <v>3380.6120000000001</v>
      </c>
      <c r="DS37" s="7"/>
      <c r="DT37" s="8"/>
      <c r="DU37" s="51">
        <f>DU30</f>
        <v>533922.56000000006</v>
      </c>
      <c r="DV37" s="51">
        <f>DV30</f>
        <v>500755.82</v>
      </c>
    </row>
    <row r="38" spans="1:177" ht="12.75" customHeight="1" x14ac:dyDescent="0.2">
      <c r="A38" s="6"/>
      <c r="C38" s="7"/>
      <c r="D38" s="8"/>
      <c r="E38" s="51"/>
      <c r="F38" s="51"/>
      <c r="G38" s="7"/>
      <c r="H38" s="8"/>
      <c r="I38" s="51"/>
      <c r="J38" s="51"/>
      <c r="K38" s="7"/>
      <c r="L38" s="8"/>
      <c r="M38" s="51"/>
      <c r="N38" s="51"/>
      <c r="O38" s="7"/>
      <c r="P38" s="8"/>
      <c r="Q38" s="51"/>
      <c r="R38" s="51"/>
      <c r="S38" s="51"/>
      <c r="T38" s="7"/>
      <c r="U38" s="8"/>
      <c r="V38" s="51"/>
      <c r="W38" s="51"/>
      <c r="X38" s="7"/>
      <c r="Y38" s="8"/>
      <c r="Z38" s="51"/>
      <c r="AA38" s="51"/>
      <c r="AB38" s="7"/>
      <c r="AC38" s="8"/>
      <c r="AD38" s="51"/>
      <c r="AE38" s="51"/>
      <c r="AF38" s="7"/>
      <c r="AG38" s="8"/>
      <c r="AH38" s="51"/>
      <c r="AI38" s="51"/>
      <c r="AJ38" s="7"/>
      <c r="AK38" s="8"/>
      <c r="AL38" s="51"/>
      <c r="AM38" s="51"/>
      <c r="AN38" s="7"/>
      <c r="AO38" s="8"/>
      <c r="AP38" s="51"/>
      <c r="AQ38" s="51"/>
      <c r="AR38" s="7"/>
      <c r="AS38" s="8"/>
      <c r="AT38" s="51"/>
      <c r="AU38" s="51"/>
      <c r="AV38" s="7"/>
      <c r="AW38" s="8"/>
      <c r="AX38" s="51"/>
      <c r="AY38" s="51"/>
      <c r="AZ38" s="7"/>
      <c r="BA38" s="8"/>
      <c r="BB38" s="51"/>
      <c r="BC38" s="51"/>
      <c r="BD38" s="7"/>
      <c r="BE38" s="8"/>
      <c r="BF38" s="51"/>
      <c r="BG38" s="51"/>
      <c r="BH38" s="7"/>
      <c r="BI38" s="8"/>
      <c r="BJ38" s="51"/>
      <c r="BK38" s="51"/>
      <c r="BL38" s="7"/>
      <c r="BM38" s="8"/>
      <c r="BN38" s="51"/>
      <c r="BO38" s="51"/>
      <c r="BP38" s="7"/>
      <c r="BQ38" s="8"/>
      <c r="BR38" s="51"/>
      <c r="BS38" s="51"/>
      <c r="BT38" s="7"/>
      <c r="BU38" s="8"/>
      <c r="BV38" s="51"/>
      <c r="BW38" s="51"/>
      <c r="BX38" s="7"/>
      <c r="BY38" s="8"/>
      <c r="BZ38" s="51"/>
      <c r="CA38" s="51"/>
      <c r="CB38" s="7"/>
      <c r="CC38" s="8"/>
      <c r="CD38" s="51"/>
      <c r="CE38" s="51"/>
      <c r="CF38" s="7"/>
      <c r="CG38" s="8"/>
      <c r="CH38" s="51"/>
      <c r="CI38" s="51"/>
      <c r="CJ38" s="7"/>
      <c r="CK38" s="8"/>
      <c r="CL38" s="51"/>
      <c r="CM38" s="51"/>
      <c r="CN38" s="7"/>
      <c r="CO38" s="8"/>
      <c r="CP38" s="51"/>
      <c r="CQ38" s="51"/>
      <c r="CR38" s="7"/>
      <c r="CS38" s="8"/>
      <c r="CT38" s="51"/>
      <c r="CU38" s="51"/>
      <c r="CV38" s="7"/>
      <c r="CW38" s="8"/>
      <c r="CX38" s="51"/>
      <c r="CY38" s="51"/>
      <c r="CZ38" s="7"/>
      <c r="DA38" s="8"/>
      <c r="DB38" s="51"/>
      <c r="DC38" s="51"/>
      <c r="DD38" s="7"/>
      <c r="DE38" s="8"/>
      <c r="DF38" s="51"/>
      <c r="DG38" s="51"/>
      <c r="DH38" s="7"/>
      <c r="DI38" s="8"/>
      <c r="DJ38" s="51"/>
      <c r="DK38" s="51"/>
      <c r="DL38" s="51"/>
      <c r="DM38" s="51"/>
      <c r="DN38" s="51"/>
      <c r="DO38" s="7"/>
      <c r="DP38" s="8"/>
      <c r="DQ38" s="51"/>
      <c r="DR38" s="51"/>
      <c r="DS38" s="7"/>
      <c r="DT38" s="8"/>
      <c r="DU38" s="51"/>
      <c r="DV38" s="51"/>
    </row>
    <row r="39" spans="1:177" ht="12.75" customHeight="1" x14ac:dyDescent="0.2">
      <c r="A39" s="75" t="s">
        <v>144</v>
      </c>
      <c r="B39" s="65"/>
      <c r="C39" s="7"/>
      <c r="D39" s="8"/>
      <c r="E39" s="51"/>
      <c r="F39" s="51"/>
      <c r="G39" s="7"/>
      <c r="H39" s="8"/>
      <c r="I39" s="51"/>
      <c r="J39" s="51"/>
      <c r="K39" s="7"/>
      <c r="L39" s="8"/>
      <c r="M39" s="51"/>
      <c r="N39" s="51"/>
      <c r="O39" s="7"/>
      <c r="P39" s="8"/>
      <c r="Q39" s="51"/>
      <c r="R39" s="51"/>
      <c r="S39" s="51"/>
      <c r="T39" s="7"/>
      <c r="U39" s="8"/>
      <c r="V39" s="51"/>
      <c r="W39" s="51"/>
      <c r="X39" s="7"/>
      <c r="Y39" s="8"/>
      <c r="Z39" s="51"/>
      <c r="AA39" s="51"/>
      <c r="AB39" s="7"/>
      <c r="AC39" s="8"/>
      <c r="AD39" s="51"/>
      <c r="AE39" s="51"/>
      <c r="AF39" s="7"/>
      <c r="AG39" s="8"/>
      <c r="AH39" s="51"/>
      <c r="AI39" s="51"/>
      <c r="AJ39" s="7"/>
      <c r="AK39" s="8"/>
      <c r="AL39" s="51"/>
      <c r="AM39" s="51"/>
      <c r="AN39" s="7"/>
      <c r="AO39" s="8"/>
      <c r="AP39" s="51"/>
      <c r="AQ39" s="51"/>
      <c r="AR39" s="7"/>
      <c r="AS39" s="8"/>
      <c r="AT39" s="51"/>
      <c r="AU39" s="51"/>
      <c r="AV39" s="7"/>
      <c r="AW39" s="8"/>
      <c r="AX39" s="51"/>
      <c r="AY39" s="51"/>
      <c r="AZ39" s="7"/>
      <c r="BA39" s="8"/>
      <c r="BB39" s="51"/>
      <c r="BC39" s="51"/>
      <c r="BD39" s="7"/>
      <c r="BE39" s="8"/>
      <c r="BF39" s="51"/>
      <c r="BG39" s="51"/>
      <c r="BH39" s="7"/>
      <c r="BI39" s="8"/>
      <c r="BJ39" s="51"/>
      <c r="BK39" s="51"/>
      <c r="BL39" s="7"/>
      <c r="BM39" s="8"/>
      <c r="BN39" s="51"/>
      <c r="BO39" s="51"/>
      <c r="BP39" s="7"/>
      <c r="BQ39" s="8"/>
      <c r="BR39" s="51"/>
      <c r="BS39" s="51"/>
      <c r="BT39" s="7"/>
      <c r="BU39" s="8"/>
      <c r="BV39" s="51"/>
      <c r="BW39" s="51"/>
      <c r="BX39" s="7"/>
      <c r="BY39" s="8"/>
      <c r="BZ39" s="51"/>
      <c r="CA39" s="51"/>
      <c r="CB39" s="7"/>
      <c r="CC39" s="8"/>
      <c r="CD39" s="51"/>
      <c r="CE39" s="51"/>
      <c r="CF39" s="7"/>
      <c r="CG39" s="8"/>
      <c r="CH39" s="51"/>
      <c r="CI39" s="51"/>
      <c r="CJ39" s="7"/>
      <c r="CK39" s="8"/>
      <c r="CL39" s="51"/>
      <c r="CM39" s="51"/>
      <c r="CN39" s="7"/>
      <c r="CO39" s="8"/>
      <c r="CP39" s="51"/>
      <c r="CQ39" s="51"/>
      <c r="CR39" s="7"/>
      <c r="CS39" s="8"/>
      <c r="CT39" s="51"/>
      <c r="CU39" s="51"/>
      <c r="CV39" s="7"/>
      <c r="CW39" s="8"/>
      <c r="CX39" s="51"/>
      <c r="CY39" s="51"/>
      <c r="CZ39" s="7"/>
      <c r="DA39" s="8"/>
      <c r="DB39" s="51"/>
      <c r="DC39" s="51"/>
      <c r="DD39" s="7"/>
      <c r="DE39" s="8"/>
      <c r="DF39" s="51"/>
      <c r="DG39" s="51"/>
      <c r="DH39" s="7"/>
      <c r="DI39" s="8"/>
      <c r="DJ39" s="51"/>
      <c r="DK39" s="51"/>
      <c r="DL39" s="51"/>
      <c r="DM39" s="51"/>
      <c r="DN39" s="51"/>
      <c r="DO39" s="7"/>
      <c r="DP39" s="8"/>
      <c r="DQ39" s="51"/>
      <c r="DR39" s="51"/>
      <c r="DS39" s="7"/>
      <c r="DT39" s="8"/>
      <c r="DU39" s="51"/>
      <c r="DV39" s="51"/>
    </row>
    <row r="40" spans="1:177" ht="12.75" customHeight="1" x14ac:dyDescent="0.2">
      <c r="A40" s="74"/>
      <c r="B40" s="76" t="s">
        <v>145</v>
      </c>
      <c r="C40" s="72"/>
      <c r="D40" s="73"/>
      <c r="E40" s="35">
        <v>0</v>
      </c>
      <c r="F40" s="35">
        <v>0</v>
      </c>
      <c r="G40" s="72"/>
      <c r="H40" s="73"/>
      <c r="I40" s="35"/>
      <c r="J40" s="35"/>
      <c r="K40" s="72"/>
      <c r="L40" s="73"/>
      <c r="M40" s="35"/>
      <c r="N40" s="35"/>
      <c r="O40" s="72"/>
      <c r="P40" s="73"/>
      <c r="Q40" s="35"/>
      <c r="R40" s="35"/>
      <c r="S40" s="35"/>
      <c r="T40" s="72"/>
      <c r="U40" s="73"/>
      <c r="V40" s="35"/>
      <c r="W40" s="35"/>
      <c r="X40" s="72"/>
      <c r="Y40" s="73"/>
      <c r="Z40" s="35">
        <v>0</v>
      </c>
      <c r="AA40" s="35">
        <v>0</v>
      </c>
      <c r="AB40" s="72"/>
      <c r="AC40" s="73"/>
      <c r="AD40" s="35">
        <v>2282.7269999999999</v>
      </c>
      <c r="AE40" s="35">
        <v>1150.174</v>
      </c>
      <c r="AF40" s="72"/>
      <c r="AG40" s="73"/>
      <c r="AH40" s="35" t="s">
        <v>168</v>
      </c>
      <c r="AI40" s="35" t="s">
        <v>168</v>
      </c>
      <c r="AJ40" s="72"/>
      <c r="AK40" s="73"/>
      <c r="AL40" s="35"/>
      <c r="AM40" s="35"/>
      <c r="AN40" s="72"/>
      <c r="AO40" s="73"/>
      <c r="AP40" s="35">
        <v>0</v>
      </c>
      <c r="AQ40" s="35">
        <v>0</v>
      </c>
      <c r="AR40" s="72"/>
      <c r="AS40" s="73"/>
      <c r="AT40" s="35">
        <v>0</v>
      </c>
      <c r="AU40" s="35">
        <v>0</v>
      </c>
      <c r="AV40" s="72"/>
      <c r="AW40" s="73"/>
      <c r="AX40" s="35"/>
      <c r="AY40" s="35"/>
      <c r="AZ40" s="72"/>
      <c r="BA40" s="73"/>
      <c r="BB40" s="35">
        <v>0</v>
      </c>
      <c r="BC40" s="35"/>
      <c r="BD40" s="72"/>
      <c r="BE40" s="73"/>
      <c r="BF40" s="35"/>
      <c r="BG40" s="35"/>
      <c r="BH40" s="72"/>
      <c r="BI40" s="73"/>
      <c r="BJ40" s="35"/>
      <c r="BK40" s="35"/>
      <c r="BL40" s="72"/>
      <c r="BM40" s="73"/>
      <c r="BN40" s="35">
        <v>0</v>
      </c>
      <c r="BO40" s="35">
        <v>0</v>
      </c>
      <c r="BP40" s="72"/>
      <c r="BQ40" s="73"/>
      <c r="BR40" s="35"/>
      <c r="BS40" s="35"/>
      <c r="BT40" s="72"/>
      <c r="BU40" s="73"/>
      <c r="BV40" s="35">
        <v>7.6159999999999997</v>
      </c>
      <c r="BW40" s="35">
        <v>13.473000000000001</v>
      </c>
      <c r="BX40" s="72"/>
      <c r="BY40" s="73"/>
      <c r="BZ40" s="35"/>
      <c r="CA40" s="35"/>
      <c r="CB40" s="72"/>
      <c r="CC40" s="73"/>
      <c r="CD40" s="35">
        <f>4749.028+810.47+1743.809</f>
        <v>7303.3070000000007</v>
      </c>
      <c r="CE40" s="35">
        <f>4861.912+20700.675+454.262+2502.3</f>
        <v>28519.148999999998</v>
      </c>
      <c r="CF40" s="72"/>
      <c r="CG40" s="73"/>
      <c r="CH40" s="35"/>
      <c r="CI40" s="35"/>
      <c r="CJ40" s="72"/>
      <c r="CK40" s="73"/>
      <c r="CL40" s="35"/>
      <c r="CM40" s="35"/>
      <c r="CN40" s="72"/>
      <c r="CO40" s="73"/>
      <c r="CP40" s="35">
        <f>57.445+193.443+91.473</f>
        <v>342.36099999999999</v>
      </c>
      <c r="CQ40" s="35">
        <f>81.076+109.55+283.245</f>
        <v>473.87099999999998</v>
      </c>
      <c r="CR40" s="72"/>
      <c r="CS40" s="73"/>
      <c r="CT40" s="35">
        <f>5012+322</f>
        <v>5334</v>
      </c>
      <c r="CU40" s="35">
        <f>1456+340</f>
        <v>1796</v>
      </c>
      <c r="CV40" s="72"/>
      <c r="CW40" s="73"/>
      <c r="CX40" s="35">
        <v>0</v>
      </c>
      <c r="CY40" s="35">
        <v>0</v>
      </c>
      <c r="CZ40" s="72"/>
      <c r="DA40" s="73"/>
      <c r="DB40" s="35"/>
      <c r="DC40" s="35"/>
      <c r="DD40" s="72"/>
      <c r="DE40" s="73"/>
      <c r="DF40" s="35">
        <v>0</v>
      </c>
      <c r="DG40" s="35">
        <v>0</v>
      </c>
      <c r="DH40" s="72"/>
      <c r="DI40" s="73"/>
      <c r="DJ40" s="35"/>
      <c r="DK40" s="35"/>
      <c r="DL40" s="35"/>
      <c r="DM40" s="35"/>
      <c r="DN40" s="35"/>
      <c r="DO40" s="72"/>
      <c r="DP40" s="73"/>
      <c r="DQ40" s="35"/>
      <c r="DR40" s="35"/>
      <c r="DS40" s="72"/>
      <c r="DT40" s="73"/>
      <c r="DU40" s="35">
        <f>1260.281+557.538</f>
        <v>1817.819</v>
      </c>
      <c r="DV40" s="35">
        <f>1210.592+1430.523</f>
        <v>2641.1149999999998</v>
      </c>
    </row>
    <row r="41" spans="1:177" ht="12.75" customHeight="1" x14ac:dyDescent="0.2">
      <c r="A41" s="58"/>
      <c r="B41" s="39" t="s">
        <v>147</v>
      </c>
      <c r="C41" s="63"/>
      <c r="D41" s="64"/>
      <c r="E41" s="43">
        <v>0</v>
      </c>
      <c r="F41" s="43">
        <v>0</v>
      </c>
      <c r="G41" s="63"/>
      <c r="H41" s="64"/>
      <c r="I41" s="43"/>
      <c r="J41" s="43"/>
      <c r="K41" s="63"/>
      <c r="L41" s="64"/>
      <c r="M41" s="43"/>
      <c r="N41" s="43"/>
      <c r="O41" s="63"/>
      <c r="P41" s="64"/>
      <c r="Q41" s="43"/>
      <c r="R41" s="43">
        <v>1839.8340000000001</v>
      </c>
      <c r="S41" s="43"/>
      <c r="T41" s="63"/>
      <c r="U41" s="64"/>
      <c r="V41" s="43"/>
      <c r="W41" s="43"/>
      <c r="X41" s="63"/>
      <c r="Y41" s="64"/>
      <c r="Z41" s="43">
        <v>0</v>
      </c>
      <c r="AA41" s="43">
        <v>0</v>
      </c>
      <c r="AB41" s="63"/>
      <c r="AC41" s="64"/>
      <c r="AD41" s="43">
        <v>523.92700000000002</v>
      </c>
      <c r="AE41" s="43">
        <v>492.12599999999998</v>
      </c>
      <c r="AF41" s="63"/>
      <c r="AG41" s="8"/>
      <c r="AH41" s="35" t="s">
        <v>168</v>
      </c>
      <c r="AI41" s="35" t="s">
        <v>168</v>
      </c>
      <c r="AJ41" s="63"/>
      <c r="AK41" s="64"/>
      <c r="AL41" s="43"/>
      <c r="AM41" s="43"/>
      <c r="AN41" s="63"/>
      <c r="AO41" s="64"/>
      <c r="AP41" s="43">
        <v>0</v>
      </c>
      <c r="AQ41" s="43">
        <v>122.03</v>
      </c>
      <c r="AR41" s="63"/>
      <c r="AS41" s="64"/>
      <c r="AT41" s="43">
        <v>3903.9949999999999</v>
      </c>
      <c r="AU41" s="43">
        <v>2704.9009999999998</v>
      </c>
      <c r="AV41" s="63"/>
      <c r="AW41" s="64"/>
      <c r="AX41" s="43"/>
      <c r="AY41" s="43"/>
      <c r="AZ41" s="63"/>
      <c r="BA41" s="64"/>
      <c r="BB41" s="43">
        <v>0</v>
      </c>
      <c r="BC41" s="43"/>
      <c r="BD41" s="63"/>
      <c r="BE41" s="64"/>
      <c r="BF41" s="43"/>
      <c r="BG41" s="43"/>
      <c r="BH41" s="63"/>
      <c r="BI41" s="64"/>
      <c r="BJ41" s="43"/>
      <c r="BK41" s="43"/>
      <c r="BL41" s="63"/>
      <c r="BM41" s="64"/>
      <c r="BN41" s="43">
        <v>147.62299999999999</v>
      </c>
      <c r="BO41" s="43">
        <v>436.2</v>
      </c>
      <c r="BP41" s="63"/>
      <c r="BQ41" s="64"/>
      <c r="BR41" s="43"/>
      <c r="BS41" s="43"/>
      <c r="BT41" s="63"/>
      <c r="BU41" s="64"/>
      <c r="BV41" s="43">
        <v>0</v>
      </c>
      <c r="BW41" s="43">
        <v>248.94200000000001</v>
      </c>
      <c r="BX41" s="63"/>
      <c r="BY41" s="64"/>
      <c r="BZ41" s="43"/>
      <c r="CA41" s="43"/>
      <c r="CB41" s="63"/>
      <c r="CC41" s="64"/>
      <c r="CD41" s="43">
        <f>12480.204</f>
        <v>12480.204</v>
      </c>
      <c r="CE41" s="43">
        <v>6713.2110000000002</v>
      </c>
      <c r="CF41" s="63"/>
      <c r="CG41" s="64"/>
      <c r="CH41" s="43"/>
      <c r="CI41" s="43"/>
      <c r="CJ41" s="63"/>
      <c r="CK41" s="64"/>
      <c r="CL41" s="43"/>
      <c r="CM41" s="43"/>
      <c r="CN41" s="63"/>
      <c r="CO41" s="64"/>
      <c r="CP41" s="43">
        <f>101.152</f>
        <v>101.152</v>
      </c>
      <c r="CQ41" s="43">
        <f>109.2983</f>
        <v>109.2983</v>
      </c>
      <c r="CR41" s="63"/>
      <c r="CS41" s="64"/>
      <c r="CT41" s="43">
        <v>5378</v>
      </c>
      <c r="CU41" s="43">
        <v>2633</v>
      </c>
      <c r="CV41" s="63"/>
      <c r="CW41" s="64"/>
      <c r="CX41" s="43">
        <v>0</v>
      </c>
      <c r="CY41" s="43">
        <v>0</v>
      </c>
      <c r="CZ41" s="63"/>
      <c r="DA41" s="64"/>
      <c r="DB41" s="43"/>
      <c r="DC41" s="43"/>
      <c r="DD41" s="63"/>
      <c r="DE41" s="64"/>
      <c r="DF41" s="43">
        <v>0</v>
      </c>
      <c r="DG41" s="43">
        <v>1367.972</v>
      </c>
      <c r="DH41" s="63"/>
      <c r="DI41" s="64"/>
      <c r="DJ41" s="43"/>
      <c r="DK41" s="43"/>
      <c r="DL41" s="43"/>
      <c r="DM41" s="43"/>
      <c r="DN41" s="43"/>
      <c r="DO41" s="63"/>
      <c r="DP41" s="64"/>
      <c r="DQ41" s="43"/>
      <c r="DR41" s="43"/>
      <c r="DS41" s="63"/>
      <c r="DT41" s="64"/>
      <c r="DU41" s="43">
        <f>1822.039</f>
        <v>1822.039</v>
      </c>
      <c r="DV41" s="43">
        <f>3074.188</f>
        <v>3074.1880000000001</v>
      </c>
    </row>
    <row r="42" spans="1:177" ht="12.75" customHeight="1" x14ac:dyDescent="0.2">
      <c r="B42" s="65" t="s">
        <v>148</v>
      </c>
      <c r="E42" s="32">
        <v>0</v>
      </c>
      <c r="F42" s="32">
        <v>0</v>
      </c>
      <c r="I42" s="32"/>
      <c r="J42" s="32"/>
      <c r="M42" s="32"/>
      <c r="N42" s="32"/>
      <c r="Q42" s="32"/>
      <c r="R42" s="32"/>
      <c r="S42" s="32">
        <f>SUM(S40:S41)</f>
        <v>0</v>
      </c>
      <c r="V42" s="32"/>
      <c r="W42" s="32"/>
      <c r="Z42" s="32">
        <v>0</v>
      </c>
      <c r="AA42" s="32">
        <v>0</v>
      </c>
      <c r="AD42" s="32">
        <f>SUM(AD40:AD41)</f>
        <v>2806.654</v>
      </c>
      <c r="AE42" s="32">
        <f>SUM(AE40:AE41)</f>
        <v>1642.3</v>
      </c>
      <c r="AH42" s="32"/>
      <c r="AI42" s="32"/>
      <c r="AL42" s="32"/>
      <c r="AM42" s="32"/>
      <c r="AP42" s="32">
        <f>SUM(AP40:AP41)</f>
        <v>0</v>
      </c>
      <c r="AQ42" s="32">
        <f>SUM(AQ40:AQ41)</f>
        <v>122.03</v>
      </c>
      <c r="AT42" s="32">
        <f>SUM(AT40:AT41)</f>
        <v>3903.9949999999999</v>
      </c>
      <c r="AU42" s="32">
        <f>SUM(AU40:AU41)</f>
        <v>2704.9009999999998</v>
      </c>
      <c r="AX42" s="32"/>
      <c r="AY42" s="32"/>
      <c r="BB42" s="32">
        <v>0</v>
      </c>
      <c r="BC42" s="32"/>
      <c r="BF42" s="32"/>
      <c r="BG42" s="32"/>
      <c r="BJ42" s="32"/>
      <c r="BK42" s="32"/>
      <c r="BN42" s="32">
        <f>SUM(BN40:BN41)</f>
        <v>147.62299999999999</v>
      </c>
      <c r="BO42" s="32">
        <f>SUM(BO40:BO41)</f>
        <v>436.2</v>
      </c>
      <c r="BR42" s="32"/>
      <c r="BS42" s="32"/>
      <c r="BV42" s="32">
        <f>SUM(BV40:BV41)</f>
        <v>7.6159999999999997</v>
      </c>
      <c r="BW42" s="32">
        <f>SUM(BW40:BW41)</f>
        <v>262.41500000000002</v>
      </c>
      <c r="BZ42" s="32"/>
      <c r="CA42" s="32"/>
      <c r="CD42" s="32">
        <f>SUM(CD40:CD41)</f>
        <v>19783.510999999999</v>
      </c>
      <c r="CE42" s="32">
        <f>SUM(CE40:CE41)</f>
        <v>35232.36</v>
      </c>
      <c r="CH42" s="32"/>
      <c r="CI42" s="32"/>
      <c r="CL42" s="32"/>
      <c r="CM42" s="32"/>
      <c r="CP42" s="32">
        <f>SUM(CP40:CP41)</f>
        <v>443.51299999999998</v>
      </c>
      <c r="CQ42" s="32">
        <f>SUM(CQ40:CQ41)</f>
        <v>583.16930000000002</v>
      </c>
      <c r="CT42" s="32">
        <f>SUM(CT40:CT41)</f>
        <v>10712</v>
      </c>
      <c r="CU42" s="32">
        <f>SUM(CU40:CU41)</f>
        <v>4429</v>
      </c>
      <c r="CX42" s="32">
        <v>0</v>
      </c>
      <c r="CY42" s="32">
        <v>0</v>
      </c>
      <c r="DB42" s="32"/>
      <c r="DC42" s="32"/>
      <c r="DF42" s="32">
        <f>SUM(DF40:DF41)</f>
        <v>0</v>
      </c>
      <c r="DG42" s="32">
        <f>SUM(DG40:DG41)</f>
        <v>1367.972</v>
      </c>
      <c r="DJ42" s="32"/>
      <c r="DK42" s="32"/>
      <c r="DL42" s="32"/>
      <c r="DM42" s="32"/>
      <c r="DN42" s="32"/>
      <c r="DQ42" s="32"/>
      <c r="DR42" s="32"/>
      <c r="DU42" s="32">
        <f>SUM(DU40:DU41)</f>
        <v>3639.8580000000002</v>
      </c>
      <c r="DV42" s="32">
        <f>SUM(DV40:DV41)</f>
        <v>5715.3029999999999</v>
      </c>
    </row>
    <row r="43" spans="1:177" ht="12.75" customHeight="1" x14ac:dyDescent="0.2">
      <c r="B43" s="65"/>
      <c r="E43" s="32"/>
      <c r="F43" s="32"/>
      <c r="I43" s="32"/>
      <c r="J43" s="32"/>
      <c r="M43" s="32"/>
      <c r="N43" s="32"/>
      <c r="Q43" s="32"/>
      <c r="R43" s="32"/>
      <c r="S43" s="32"/>
      <c r="V43" s="32"/>
      <c r="W43" s="32"/>
      <c r="Z43" s="32"/>
      <c r="AA43" s="32"/>
      <c r="AD43" s="32"/>
      <c r="AE43" s="32"/>
      <c r="AH43" s="32"/>
      <c r="AI43" s="32"/>
      <c r="AL43" s="32"/>
      <c r="AM43" s="32"/>
      <c r="AP43" s="32"/>
      <c r="AQ43" s="32"/>
      <c r="AT43" s="32"/>
      <c r="AU43" s="32"/>
      <c r="AX43" s="32"/>
      <c r="AY43" s="32"/>
      <c r="BB43" s="32"/>
      <c r="BC43" s="32"/>
      <c r="BF43" s="32"/>
      <c r="BG43" s="32"/>
      <c r="BJ43" s="32"/>
      <c r="BK43" s="32"/>
      <c r="BN43" s="32"/>
      <c r="BO43" s="32"/>
      <c r="BR43" s="32"/>
      <c r="BS43" s="32"/>
      <c r="BV43" s="32"/>
      <c r="BW43" s="32"/>
      <c r="BZ43" s="32"/>
      <c r="CA43" s="32"/>
      <c r="CD43" s="32"/>
      <c r="CE43" s="32"/>
      <c r="CH43" s="32"/>
      <c r="CI43" s="32"/>
      <c r="CL43" s="32"/>
      <c r="CM43" s="32"/>
      <c r="CP43" s="32"/>
      <c r="CQ43" s="32"/>
      <c r="CT43" s="32"/>
      <c r="CU43" s="32"/>
      <c r="CX43" s="32"/>
      <c r="CY43" s="32"/>
      <c r="DB43" s="32"/>
      <c r="DC43" s="32"/>
      <c r="DF43" s="32"/>
      <c r="DG43" s="32"/>
      <c r="DJ43" s="32"/>
      <c r="DK43" s="32"/>
      <c r="DL43" s="32"/>
      <c r="DM43" s="32"/>
      <c r="DN43" s="32"/>
      <c r="DQ43" s="32"/>
      <c r="DR43" s="32"/>
      <c r="DU43" s="32"/>
      <c r="DV43" s="32"/>
    </row>
    <row r="44" spans="1:177" ht="12.75" customHeight="1" x14ac:dyDescent="0.2">
      <c r="A44" s="74"/>
      <c r="B44" s="70" t="s">
        <v>149</v>
      </c>
      <c r="C44" s="72"/>
      <c r="D44" s="73"/>
      <c r="E44" s="56">
        <v>0</v>
      </c>
      <c r="F44" s="56"/>
      <c r="G44" s="72"/>
      <c r="H44" s="73"/>
      <c r="I44" s="56"/>
      <c r="J44" s="56"/>
      <c r="K44" s="72"/>
      <c r="L44" s="73"/>
      <c r="M44" s="56">
        <v>85</v>
      </c>
      <c r="N44" s="56">
        <v>96</v>
      </c>
      <c r="O44" s="72"/>
      <c r="P44" s="73"/>
      <c r="Q44" s="56"/>
      <c r="R44" s="56"/>
      <c r="S44" s="56"/>
      <c r="T44" s="72"/>
      <c r="U44" s="73"/>
      <c r="V44" s="56"/>
      <c r="W44" s="56"/>
      <c r="X44" s="72"/>
      <c r="Y44" s="73"/>
      <c r="Z44" s="56">
        <v>0</v>
      </c>
      <c r="AA44" s="56">
        <v>0</v>
      </c>
      <c r="AB44" s="72"/>
      <c r="AC44" s="73"/>
      <c r="AD44" s="56">
        <v>0</v>
      </c>
      <c r="AE44" s="56">
        <v>0</v>
      </c>
      <c r="AF44" s="72"/>
      <c r="AG44" s="73"/>
      <c r="AH44" s="56">
        <v>1411</v>
      </c>
      <c r="AI44" s="56">
        <v>2713</v>
      </c>
      <c r="AJ44" s="72"/>
      <c r="AK44" s="73"/>
      <c r="AL44" s="56"/>
      <c r="AM44" s="56"/>
      <c r="AN44" s="72"/>
      <c r="AO44" s="73"/>
      <c r="AP44" s="56"/>
      <c r="AQ44" s="56"/>
      <c r="AR44" s="72"/>
      <c r="AS44" s="73"/>
      <c r="AT44" s="56">
        <v>0</v>
      </c>
      <c r="AU44" s="56">
        <v>0</v>
      </c>
      <c r="AV44" s="72"/>
      <c r="AW44" s="73"/>
      <c r="AX44" s="56"/>
      <c r="AY44" s="56"/>
      <c r="AZ44" s="72"/>
      <c r="BA44" s="73"/>
      <c r="BB44" s="56">
        <v>0</v>
      </c>
      <c r="BC44" s="56"/>
      <c r="BD44" s="72"/>
      <c r="BE44" s="73"/>
      <c r="BF44" s="56"/>
      <c r="BG44" s="56"/>
      <c r="BH44" s="72"/>
      <c r="BI44" s="73"/>
      <c r="BJ44" s="56"/>
      <c r="BK44" s="56"/>
      <c r="BL44" s="72"/>
      <c r="BM44" s="73"/>
      <c r="BN44" s="56">
        <v>112.547</v>
      </c>
      <c r="BO44" s="56">
        <v>203</v>
      </c>
      <c r="BP44" s="72"/>
      <c r="BQ44" s="73"/>
      <c r="BR44" s="56">
        <v>3</v>
      </c>
      <c r="BS44" s="56">
        <v>63.753</v>
      </c>
      <c r="BT44" s="72"/>
      <c r="BU44" s="73"/>
      <c r="BV44" s="56"/>
      <c r="BW44" s="56"/>
      <c r="BX44" s="72"/>
      <c r="BY44" s="73"/>
      <c r="BZ44" s="56"/>
      <c r="CA44" s="56"/>
      <c r="CB44" s="72"/>
      <c r="CC44" s="73"/>
      <c r="CD44" s="56">
        <v>3771.0830000000001</v>
      </c>
      <c r="CE44" s="56">
        <v>2921.3960000000002</v>
      </c>
      <c r="CF44" s="72"/>
      <c r="CG44" s="73"/>
      <c r="CH44" s="56"/>
      <c r="CI44" s="56"/>
      <c r="CJ44" s="72"/>
      <c r="CK44" s="73"/>
      <c r="CL44" s="56"/>
      <c r="CM44" s="56"/>
      <c r="CN44" s="72"/>
      <c r="CO44" s="73"/>
      <c r="CP44" s="56">
        <f>202.778</f>
        <v>202.77799999999999</v>
      </c>
      <c r="CQ44" s="56">
        <v>170.095</v>
      </c>
      <c r="CR44" s="72"/>
      <c r="CS44" s="73"/>
      <c r="CT44" s="56">
        <v>317</v>
      </c>
      <c r="CU44" s="56">
        <v>0</v>
      </c>
      <c r="CV44" s="72"/>
      <c r="CW44" s="73"/>
      <c r="CX44" s="56"/>
      <c r="CY44" s="56"/>
      <c r="CZ44" s="72"/>
      <c r="DA44" s="73"/>
      <c r="DB44" s="56"/>
      <c r="DC44" s="56"/>
      <c r="DD44" s="72"/>
      <c r="DE44" s="73"/>
      <c r="DF44" s="56">
        <v>0</v>
      </c>
      <c r="DG44" s="56">
        <v>0</v>
      </c>
      <c r="DH44" s="72"/>
      <c r="DI44" s="73"/>
      <c r="DJ44" s="56"/>
      <c r="DK44" s="56"/>
      <c r="DL44" s="56"/>
      <c r="DM44" s="56"/>
      <c r="DN44" s="56"/>
      <c r="DO44" s="72"/>
      <c r="DP44" s="73"/>
      <c r="DQ44" s="56"/>
      <c r="DR44" s="56"/>
      <c r="DS44" s="72"/>
      <c r="DT44" s="73"/>
      <c r="DU44" s="56">
        <v>322.70400000000001</v>
      </c>
      <c r="DV44" s="56">
        <v>425</v>
      </c>
    </row>
    <row r="45" spans="1:177" ht="12.75" customHeight="1" x14ac:dyDescent="0.2">
      <c r="A45" s="58"/>
      <c r="B45" s="82" t="s">
        <v>150</v>
      </c>
      <c r="C45" s="63"/>
      <c r="D45" s="64"/>
      <c r="E45" s="43">
        <v>75.177000000000007</v>
      </c>
      <c r="F45" s="43"/>
      <c r="G45" s="63"/>
      <c r="H45" s="64"/>
      <c r="I45" s="43"/>
      <c r="J45" s="43"/>
      <c r="K45" s="63"/>
      <c r="L45" s="64"/>
      <c r="M45" s="43">
        <v>611</v>
      </c>
      <c r="N45" s="43">
        <v>611</v>
      </c>
      <c r="O45" s="63"/>
      <c r="P45" s="64"/>
      <c r="Q45" s="43">
        <v>216</v>
      </c>
      <c r="R45" s="56">
        <v>100.001</v>
      </c>
      <c r="S45" s="56">
        <v>61.597999999999999</v>
      </c>
      <c r="T45" s="63"/>
      <c r="U45" s="64"/>
      <c r="V45" s="43">
        <v>8378</v>
      </c>
      <c r="W45" s="43">
        <v>4804</v>
      </c>
      <c r="X45" s="63"/>
      <c r="Y45" s="64"/>
      <c r="Z45" s="43">
        <v>185</v>
      </c>
      <c r="AA45" s="43">
        <v>185</v>
      </c>
      <c r="AB45" s="63"/>
      <c r="AC45" s="64"/>
      <c r="AD45" s="43">
        <v>2143.431</v>
      </c>
      <c r="AE45" s="43">
        <v>1520.5509999999999</v>
      </c>
      <c r="AF45" s="63"/>
      <c r="AG45" s="64"/>
      <c r="AH45" s="43">
        <v>5523</v>
      </c>
      <c r="AI45" s="43">
        <v>5947</v>
      </c>
      <c r="AJ45" s="63"/>
      <c r="AK45" s="64"/>
      <c r="AL45" s="43"/>
      <c r="AM45" s="43"/>
      <c r="AN45" s="63"/>
      <c r="AO45" s="64"/>
      <c r="AP45" s="43"/>
      <c r="AQ45" s="43"/>
      <c r="AR45" s="63"/>
      <c r="AS45" s="64"/>
      <c r="AT45" s="43">
        <v>4056.0540000000001</v>
      </c>
      <c r="AU45" s="43">
        <v>1912.1669999999999</v>
      </c>
      <c r="AV45" s="63"/>
      <c r="AW45" s="64"/>
      <c r="AX45" s="43"/>
      <c r="AY45" s="43"/>
      <c r="AZ45" s="63"/>
      <c r="BA45" s="64"/>
      <c r="BB45" s="43">
        <v>0</v>
      </c>
      <c r="BC45" s="43"/>
      <c r="BD45" s="63"/>
      <c r="BE45" s="64"/>
      <c r="BF45" s="43"/>
      <c r="BG45" s="43"/>
      <c r="BH45" s="63"/>
      <c r="BI45" s="64"/>
      <c r="BJ45" s="43"/>
      <c r="BK45" s="43"/>
      <c r="BL45" s="63"/>
      <c r="BM45" s="64"/>
      <c r="BN45" s="43">
        <v>46.805</v>
      </c>
      <c r="BO45" s="43">
        <v>60</v>
      </c>
      <c r="BP45" s="63"/>
      <c r="BQ45" s="64"/>
      <c r="BR45" s="43">
        <v>120.57</v>
      </c>
      <c r="BS45" s="43">
        <v>119.331</v>
      </c>
      <c r="BT45" s="63"/>
      <c r="BU45" s="64"/>
      <c r="BV45" s="43">
        <v>59.225999999999999</v>
      </c>
      <c r="BW45" s="43">
        <v>69.986999999999995</v>
      </c>
      <c r="BX45" s="63"/>
      <c r="BY45" s="64"/>
      <c r="BZ45" s="43"/>
      <c r="CA45" s="43"/>
      <c r="CB45" s="63"/>
      <c r="CC45" s="64"/>
      <c r="CD45" s="43">
        <v>3006.0079999999998</v>
      </c>
      <c r="CE45" s="43">
        <v>2382.4549999999999</v>
      </c>
      <c r="CF45" s="63"/>
      <c r="CG45" s="64"/>
      <c r="CH45" s="43"/>
      <c r="CI45" s="43"/>
      <c r="CJ45" s="63"/>
      <c r="CK45" s="64"/>
      <c r="CL45" s="43"/>
      <c r="CM45" s="43"/>
      <c r="CN45" s="63"/>
      <c r="CO45" s="64"/>
      <c r="CP45" s="43">
        <v>55.585000000000001</v>
      </c>
      <c r="CQ45" s="43">
        <v>85.584999999999994</v>
      </c>
      <c r="CR45" s="63"/>
      <c r="CS45" s="64"/>
      <c r="CT45" s="43">
        <v>1694</v>
      </c>
      <c r="CU45" s="43">
        <v>1106</v>
      </c>
      <c r="CV45" s="63"/>
      <c r="CW45" s="64"/>
      <c r="CX45" s="43"/>
      <c r="CY45" s="43"/>
      <c r="CZ45" s="63"/>
      <c r="DA45" s="64"/>
      <c r="DB45" s="43"/>
      <c r="DC45" s="43"/>
      <c r="DD45" s="63"/>
      <c r="DE45" s="64"/>
      <c r="DF45" s="43">
        <v>1895.9190000000001</v>
      </c>
      <c r="DG45" s="43">
        <v>1355.952</v>
      </c>
      <c r="DH45" s="63"/>
      <c r="DI45" s="64"/>
      <c r="DJ45" s="43"/>
      <c r="DK45" s="43"/>
      <c r="DL45" s="43"/>
      <c r="DM45" s="43"/>
      <c r="DN45" s="43"/>
      <c r="DO45" s="63"/>
      <c r="DP45" s="64"/>
      <c r="DQ45" s="43"/>
      <c r="DR45" s="43"/>
      <c r="DS45" s="63"/>
      <c r="DT45" s="64"/>
      <c r="DU45" s="43">
        <v>7172.2960000000003</v>
      </c>
      <c r="DV45" s="43">
        <v>6131.3</v>
      </c>
    </row>
    <row r="46" spans="1:177" ht="12.75" customHeight="1" x14ac:dyDescent="0.2">
      <c r="A46" s="74"/>
      <c r="B46" s="5" t="s">
        <v>151</v>
      </c>
      <c r="C46" s="72"/>
      <c r="D46" s="73"/>
      <c r="E46" s="32">
        <f>SUM(E43:E45)</f>
        <v>75.177000000000007</v>
      </c>
      <c r="F46" s="32"/>
      <c r="G46" s="72"/>
      <c r="H46" s="73"/>
      <c r="I46" s="32"/>
      <c r="J46" s="32"/>
      <c r="K46" s="72"/>
      <c r="L46" s="73"/>
      <c r="M46" s="32">
        <f>SUM(M44:M45)</f>
        <v>696</v>
      </c>
      <c r="N46" s="32">
        <f>SUM(N44:N45)</f>
        <v>707</v>
      </c>
      <c r="O46" s="72"/>
      <c r="P46" s="73"/>
      <c r="Q46" s="32">
        <f>SUM(Q44:Q45)</f>
        <v>216</v>
      </c>
      <c r="R46" s="32">
        <f>SUM(R44:R45)</f>
        <v>100.001</v>
      </c>
      <c r="S46" s="32">
        <f>SUM(S44:S45)</f>
        <v>61.597999999999999</v>
      </c>
      <c r="T46" s="72"/>
      <c r="U46" s="73"/>
      <c r="V46" s="32">
        <f>SUM(V44:V45)</f>
        <v>8378</v>
      </c>
      <c r="W46" s="32">
        <f>SUM(W44:W45)</f>
        <v>4804</v>
      </c>
      <c r="X46" s="72"/>
      <c r="Y46" s="73"/>
      <c r="Z46" s="32">
        <f>SUM(Z44:Z45)</f>
        <v>185</v>
      </c>
      <c r="AA46" s="32">
        <f>SUM(AA44:AA45)</f>
        <v>185</v>
      </c>
      <c r="AB46" s="72"/>
      <c r="AC46" s="73"/>
      <c r="AD46" s="32">
        <f>SUM(AD44:AD45)</f>
        <v>2143.431</v>
      </c>
      <c r="AE46" s="32">
        <f>SUM(AE44:AE45)</f>
        <v>1520.5509999999999</v>
      </c>
      <c r="AF46" s="72"/>
      <c r="AG46" s="73"/>
      <c r="AH46" s="32">
        <f>SUM(AH44:AH45)</f>
        <v>6934</v>
      </c>
      <c r="AI46" s="32">
        <f>SUM(AI44:AI45)</f>
        <v>8660</v>
      </c>
      <c r="AJ46" s="72"/>
      <c r="AK46" s="73"/>
      <c r="AL46" s="32"/>
      <c r="AM46" s="32"/>
      <c r="AN46" s="72"/>
      <c r="AO46" s="73"/>
      <c r="AP46" s="32"/>
      <c r="AQ46" s="32"/>
      <c r="AR46" s="72"/>
      <c r="AS46" s="73"/>
      <c r="AT46" s="32">
        <f>SUM(AT44:AT45)</f>
        <v>4056.0540000000001</v>
      </c>
      <c r="AU46" s="32">
        <f>SUM(AU44:AU45)</f>
        <v>1912.1669999999999</v>
      </c>
      <c r="AV46" s="72"/>
      <c r="AW46" s="73"/>
      <c r="AX46" s="32">
        <v>2901</v>
      </c>
      <c r="AY46" s="32">
        <v>2901</v>
      </c>
      <c r="AZ46" s="72"/>
      <c r="BA46" s="73"/>
      <c r="BB46" s="32">
        <v>0</v>
      </c>
      <c r="BC46" s="32"/>
      <c r="BD46" s="72"/>
      <c r="BE46" s="73"/>
      <c r="BF46" s="32"/>
      <c r="BG46" s="32"/>
      <c r="BH46" s="72"/>
      <c r="BI46" s="73"/>
      <c r="BJ46" s="32"/>
      <c r="BK46" s="32"/>
      <c r="BL46" s="72"/>
      <c r="BM46" s="73"/>
      <c r="BN46" s="32">
        <f>SUM(BN44:BN45)</f>
        <v>159.352</v>
      </c>
      <c r="BO46" s="32">
        <f>SUM(BO44:BO45)</f>
        <v>263</v>
      </c>
      <c r="BP46" s="72"/>
      <c r="BQ46" s="73"/>
      <c r="BR46" s="32">
        <f>SUM(BR44:BR45)</f>
        <v>123.57</v>
      </c>
      <c r="BS46" s="32">
        <f>SUM(BS44:BS45)</f>
        <v>183.084</v>
      </c>
      <c r="BT46" s="72"/>
      <c r="BU46" s="73"/>
      <c r="BV46" s="32"/>
      <c r="BW46" s="32"/>
      <c r="BX46" s="72"/>
      <c r="BY46" s="73"/>
      <c r="BZ46" s="32"/>
      <c r="CA46" s="32"/>
      <c r="CB46" s="72"/>
      <c r="CC46" s="73"/>
      <c r="CD46" s="32">
        <f>SUM(CD44:CD45)</f>
        <v>6777.0910000000003</v>
      </c>
      <c r="CE46" s="32">
        <f>SUM(CE44:CE45)</f>
        <v>5303.8510000000006</v>
      </c>
      <c r="CF46" s="72"/>
      <c r="CG46" s="73"/>
      <c r="CH46" s="32"/>
      <c r="CI46" s="32"/>
      <c r="CJ46" s="72"/>
      <c r="CK46" s="73"/>
      <c r="CL46" s="32"/>
      <c r="CM46" s="32"/>
      <c r="CN46" s="72"/>
      <c r="CO46" s="73"/>
      <c r="CP46" s="32">
        <f>SUM(CP44:CP45)</f>
        <v>258.363</v>
      </c>
      <c r="CQ46" s="32">
        <f>SUM(CQ44:CQ45)</f>
        <v>255.68</v>
      </c>
      <c r="CR46" s="72"/>
      <c r="CS46" s="73"/>
      <c r="CT46" s="32">
        <f>SUM(CT44:CT45)</f>
        <v>2011</v>
      </c>
      <c r="CU46" s="32">
        <f>SUM(CU44:CU45)</f>
        <v>1106</v>
      </c>
      <c r="CV46" s="72"/>
      <c r="CW46" s="73"/>
      <c r="CX46" s="32"/>
      <c r="CY46" s="32"/>
      <c r="CZ46" s="72"/>
      <c r="DA46" s="73"/>
      <c r="DB46" s="32"/>
      <c r="DC46" s="32"/>
      <c r="DD46" s="72"/>
      <c r="DE46" s="73"/>
      <c r="DF46" s="32">
        <f>SUM(DF44:DF45)</f>
        <v>1895.9190000000001</v>
      </c>
      <c r="DG46" s="32">
        <f>SUM(DG44:DG45)</f>
        <v>1355.952</v>
      </c>
      <c r="DH46" s="72"/>
      <c r="DI46" s="73"/>
      <c r="DJ46" s="32"/>
      <c r="DK46" s="32"/>
      <c r="DL46" s="32"/>
      <c r="DM46" s="32"/>
      <c r="DN46" s="32"/>
      <c r="DO46" s="72"/>
      <c r="DP46" s="73"/>
      <c r="DQ46" s="32"/>
      <c r="DR46" s="32"/>
      <c r="DS46" s="72"/>
      <c r="DT46" s="73"/>
      <c r="DU46" s="32">
        <f>SUM(DU44:DU45)</f>
        <v>7495</v>
      </c>
      <c r="DV46" s="32">
        <f>SUM(DV44:DV45)</f>
        <v>6556.3</v>
      </c>
    </row>
    <row r="47" spans="1:177" ht="12.75" customHeight="1" x14ac:dyDescent="0.2">
      <c r="A47" s="74"/>
      <c r="B47" s="5"/>
      <c r="C47" s="72"/>
      <c r="D47" s="73"/>
      <c r="E47" s="32"/>
      <c r="F47" s="32"/>
      <c r="G47" s="72"/>
      <c r="H47" s="73"/>
      <c r="I47" s="32"/>
      <c r="J47" s="32"/>
      <c r="K47" s="72"/>
      <c r="L47" s="73"/>
      <c r="M47" s="32"/>
      <c r="N47" s="32"/>
      <c r="O47" s="72"/>
      <c r="P47" s="73"/>
      <c r="Q47" s="32"/>
      <c r="R47" s="32"/>
      <c r="S47" s="32"/>
      <c r="T47" s="72"/>
      <c r="U47" s="73"/>
      <c r="V47" s="32"/>
      <c r="W47" s="32"/>
      <c r="X47" s="72"/>
      <c r="Y47" s="73"/>
      <c r="Z47" s="32"/>
      <c r="AA47" s="32"/>
      <c r="AB47" s="72"/>
      <c r="AC47" s="73"/>
      <c r="AD47" s="32"/>
      <c r="AE47" s="32"/>
      <c r="AF47" s="72"/>
      <c r="AG47" s="73"/>
      <c r="AH47" s="32"/>
      <c r="AI47" s="32"/>
      <c r="AJ47" s="72"/>
      <c r="AK47" s="73"/>
      <c r="AL47" s="32"/>
      <c r="AM47" s="32"/>
      <c r="AN47" s="72"/>
      <c r="AO47" s="73"/>
      <c r="AP47" s="32"/>
      <c r="AQ47" s="32"/>
      <c r="AR47" s="72"/>
      <c r="AS47" s="73"/>
      <c r="AT47" s="32"/>
      <c r="AU47" s="32"/>
      <c r="AV47" s="72"/>
      <c r="AW47" s="73"/>
      <c r="AX47" s="32"/>
      <c r="AY47" s="32"/>
      <c r="AZ47" s="72"/>
      <c r="BA47" s="73"/>
      <c r="BB47" s="32"/>
      <c r="BC47" s="32"/>
      <c r="BD47" s="72"/>
      <c r="BE47" s="73"/>
      <c r="BF47" s="32"/>
      <c r="BG47" s="32"/>
      <c r="BH47" s="72"/>
      <c r="BI47" s="73"/>
      <c r="BJ47" s="32"/>
      <c r="BK47" s="32"/>
      <c r="BL47" s="72"/>
      <c r="BM47" s="73"/>
      <c r="BN47" s="32"/>
      <c r="BO47" s="32"/>
      <c r="BP47" s="72"/>
      <c r="BQ47" s="73"/>
      <c r="BR47" s="32"/>
      <c r="BS47" s="32"/>
      <c r="BT47" s="72"/>
      <c r="BU47" s="73"/>
      <c r="BV47" s="32"/>
      <c r="BW47" s="32"/>
      <c r="BX47" s="72"/>
      <c r="BY47" s="73"/>
      <c r="BZ47" s="32"/>
      <c r="CA47" s="32"/>
      <c r="CB47" s="72"/>
      <c r="CC47" s="73"/>
      <c r="CD47" s="32"/>
      <c r="CE47" s="32"/>
      <c r="CF47" s="72"/>
      <c r="CG47" s="73"/>
      <c r="CH47" s="32"/>
      <c r="CI47" s="32"/>
      <c r="CJ47" s="72"/>
      <c r="CK47" s="73"/>
      <c r="CL47" s="32"/>
      <c r="CM47" s="32"/>
      <c r="CN47" s="72"/>
      <c r="CO47" s="73"/>
      <c r="CP47" s="32"/>
      <c r="CQ47" s="32"/>
      <c r="CR47" s="72"/>
      <c r="CS47" s="73"/>
      <c r="CT47" s="32"/>
      <c r="CU47" s="32"/>
      <c r="CV47" s="72"/>
      <c r="CW47" s="73"/>
      <c r="CX47" s="32"/>
      <c r="CY47" s="32"/>
      <c r="CZ47" s="72"/>
      <c r="DA47" s="73"/>
      <c r="DB47" s="32"/>
      <c r="DC47" s="32"/>
      <c r="DD47" s="72"/>
      <c r="DE47" s="73"/>
      <c r="DF47" s="32"/>
      <c r="DG47" s="32"/>
      <c r="DH47" s="72"/>
      <c r="DI47" s="73"/>
      <c r="DJ47" s="32"/>
      <c r="DK47" s="32"/>
      <c r="DL47" s="32"/>
      <c r="DM47" s="32"/>
      <c r="DN47" s="32"/>
      <c r="DO47" s="72"/>
      <c r="DP47" s="73"/>
      <c r="DQ47" s="32"/>
      <c r="DR47" s="32"/>
      <c r="DS47" s="72"/>
      <c r="DT47" s="73"/>
      <c r="DU47" s="32"/>
      <c r="DV47" s="32"/>
    </row>
    <row r="48" spans="1:177" ht="12.75" customHeight="1" x14ac:dyDescent="0.2">
      <c r="A48" s="74"/>
      <c r="B48" s="70" t="s">
        <v>152</v>
      </c>
      <c r="C48" s="72"/>
      <c r="D48" s="73"/>
      <c r="E48" s="35">
        <v>0</v>
      </c>
      <c r="F48" s="35"/>
      <c r="G48" s="72"/>
      <c r="H48" s="73"/>
      <c r="I48" s="35"/>
      <c r="J48" s="35"/>
      <c r="K48" s="72"/>
      <c r="L48" s="73"/>
      <c r="M48" s="35">
        <f>95+611</f>
        <v>706</v>
      </c>
      <c r="N48" s="35">
        <f>156+600</f>
        <v>756</v>
      </c>
      <c r="O48" s="72"/>
      <c r="P48" s="73"/>
      <c r="Q48" s="35"/>
      <c r="R48" s="35"/>
      <c r="S48" s="35"/>
      <c r="T48" s="72"/>
      <c r="U48" s="73"/>
      <c r="V48" s="35"/>
      <c r="W48" s="35"/>
      <c r="X48" s="72"/>
      <c r="Y48" s="73"/>
      <c r="Z48" s="35"/>
      <c r="AA48" s="35"/>
      <c r="AB48" s="72"/>
      <c r="AC48" s="73"/>
      <c r="AD48" s="35">
        <v>1520.5509999999999</v>
      </c>
      <c r="AE48" s="35">
        <v>775.65700000000004</v>
      </c>
      <c r="AF48" s="72"/>
      <c r="AG48" s="73"/>
      <c r="AH48" s="35">
        <f>5947+2713</f>
        <v>8660</v>
      </c>
      <c r="AI48" s="35">
        <f>3647+1231</f>
        <v>4878</v>
      </c>
      <c r="AJ48" s="72"/>
      <c r="AK48" s="73"/>
      <c r="AL48" s="35"/>
      <c r="AM48" s="35"/>
      <c r="AN48" s="72"/>
      <c r="AO48" s="73"/>
      <c r="AP48" s="35">
        <v>25</v>
      </c>
      <c r="AQ48" s="35">
        <v>0</v>
      </c>
      <c r="AR48" s="72"/>
      <c r="AS48" s="73"/>
      <c r="AT48" s="35">
        <v>1912.1669999999999</v>
      </c>
      <c r="AU48" s="35">
        <v>766.32100000000003</v>
      </c>
      <c r="AV48" s="72"/>
      <c r="AW48" s="73"/>
      <c r="AX48" s="35"/>
      <c r="AY48" s="35"/>
      <c r="AZ48" s="72"/>
      <c r="BA48" s="73"/>
      <c r="BB48" s="35">
        <v>0</v>
      </c>
      <c r="BC48" s="35"/>
      <c r="BD48" s="72"/>
      <c r="BE48" s="73"/>
      <c r="BF48" s="35"/>
      <c r="BG48" s="35"/>
      <c r="BH48" s="72"/>
      <c r="BI48" s="73"/>
      <c r="BJ48" s="35"/>
      <c r="BK48" s="35"/>
      <c r="BL48" s="72"/>
      <c r="BM48" s="73"/>
      <c r="BN48" s="35">
        <f>BN51-BN50-BN49</f>
        <v>263</v>
      </c>
      <c r="BO48" s="35">
        <f>BO51-BO50-BO49</f>
        <v>287</v>
      </c>
      <c r="BP48" s="72"/>
      <c r="BQ48" s="73"/>
      <c r="BR48" s="35">
        <f>119.331+63.75</f>
        <v>183.08100000000002</v>
      </c>
      <c r="BS48" s="35">
        <f>95.332+12.531</f>
        <v>107.863</v>
      </c>
      <c r="BT48" s="72"/>
      <c r="BU48" s="73"/>
      <c r="BV48" s="35">
        <v>46.253</v>
      </c>
      <c r="BW48" s="35">
        <v>24.242999999999999</v>
      </c>
      <c r="BX48" s="72"/>
      <c r="BY48" s="73"/>
      <c r="BZ48" s="35"/>
      <c r="CA48" s="35"/>
      <c r="CB48" s="72"/>
      <c r="CC48" s="73"/>
      <c r="CD48" s="35">
        <v>5303.85</v>
      </c>
      <c r="CE48" s="35">
        <v>4560.5020000000004</v>
      </c>
      <c r="CF48" s="72"/>
      <c r="CG48" s="73"/>
      <c r="CH48" s="35"/>
      <c r="CI48" s="35"/>
      <c r="CJ48" s="72"/>
      <c r="CK48" s="73"/>
      <c r="CL48" s="35"/>
      <c r="CM48" s="35"/>
      <c r="CN48" s="72"/>
      <c r="CO48" s="73"/>
      <c r="CP48" s="35"/>
      <c r="CQ48" s="35"/>
      <c r="CR48" s="72"/>
      <c r="CS48" s="73"/>
      <c r="CT48" s="35">
        <f>1106</f>
        <v>1106</v>
      </c>
      <c r="CU48" s="35">
        <f>1019+130</f>
        <v>1149</v>
      </c>
      <c r="CV48" s="72"/>
      <c r="CW48" s="73"/>
      <c r="CX48" s="35"/>
      <c r="CY48" s="35">
        <v>0</v>
      </c>
      <c r="CZ48" s="72"/>
      <c r="DA48" s="73"/>
      <c r="DB48" s="35"/>
      <c r="DC48" s="35"/>
      <c r="DD48" s="72"/>
      <c r="DE48" s="73"/>
      <c r="DF48" s="35">
        <v>1355.952</v>
      </c>
      <c r="DG48" s="35">
        <v>1129.7239999999999</v>
      </c>
      <c r="DH48" s="72"/>
      <c r="DI48" s="73"/>
      <c r="DJ48" s="35"/>
      <c r="DK48" s="35"/>
      <c r="DL48" s="35"/>
      <c r="DM48" s="35"/>
      <c r="DN48" s="35"/>
      <c r="DO48" s="72"/>
      <c r="DP48" s="73"/>
      <c r="DQ48" s="35"/>
      <c r="DR48" s="35"/>
      <c r="DS48" s="72"/>
      <c r="DT48" s="73"/>
      <c r="DU48" s="35">
        <f>6131.3+425</f>
        <v>6556.3</v>
      </c>
      <c r="DV48" s="35">
        <f>5303.638+151</f>
        <v>5454.6379999999999</v>
      </c>
    </row>
    <row r="49" spans="1:177" ht="12.75" customHeight="1" x14ac:dyDescent="0.2">
      <c r="A49" s="74"/>
      <c r="B49" s="70" t="s">
        <v>153</v>
      </c>
      <c r="C49" s="72"/>
      <c r="D49" s="73"/>
      <c r="E49" s="35">
        <v>75.177000000000007</v>
      </c>
      <c r="F49" s="35"/>
      <c r="G49" s="72"/>
      <c r="H49" s="73"/>
      <c r="I49" s="35"/>
      <c r="J49" s="35"/>
      <c r="K49" s="72"/>
      <c r="L49" s="73"/>
      <c r="M49" s="35">
        <v>223</v>
      </c>
      <c r="N49" s="35">
        <f>173+11</f>
        <v>184</v>
      </c>
      <c r="O49" s="72"/>
      <c r="P49" s="73"/>
      <c r="Q49" s="35"/>
      <c r="R49" s="35"/>
      <c r="S49" s="35"/>
      <c r="T49" s="72"/>
      <c r="U49" s="73"/>
      <c r="V49" s="35"/>
      <c r="W49" s="35"/>
      <c r="X49" s="72"/>
      <c r="Y49" s="73"/>
      <c r="Z49" s="35"/>
      <c r="AA49" s="35"/>
      <c r="AB49" s="72"/>
      <c r="AC49" s="73"/>
      <c r="AD49" s="35">
        <v>1954.2809999999999</v>
      </c>
      <c r="AE49" s="35">
        <v>2600</v>
      </c>
      <c r="AF49" s="72"/>
      <c r="AG49" s="73"/>
      <c r="AH49" s="35">
        <f>-424-1302</f>
        <v>-1726</v>
      </c>
      <c r="AI49" s="35">
        <f>2300+1482</f>
        <v>3782</v>
      </c>
      <c r="AJ49" s="72"/>
      <c r="AK49" s="73"/>
      <c r="AL49" s="35"/>
      <c r="AM49" s="35"/>
      <c r="AN49" s="72"/>
      <c r="AO49" s="73"/>
      <c r="AP49" s="35">
        <v>156.5</v>
      </c>
      <c r="AQ49" s="35">
        <v>25</v>
      </c>
      <c r="AR49" s="72"/>
      <c r="AS49" s="73"/>
      <c r="AT49" s="35">
        <v>2143.8870000000002</v>
      </c>
      <c r="AU49" s="35">
        <v>1080.846</v>
      </c>
      <c r="AV49" s="72"/>
      <c r="AW49" s="73"/>
      <c r="AX49" s="35"/>
      <c r="AY49" s="35" t="s">
        <v>157</v>
      </c>
      <c r="AZ49" s="72"/>
      <c r="BA49" s="73"/>
      <c r="BB49" s="35">
        <v>0</v>
      </c>
      <c r="BC49" s="35"/>
      <c r="BD49" s="72"/>
      <c r="BE49" s="73"/>
      <c r="BF49" s="35"/>
      <c r="BG49" s="35"/>
      <c r="BH49" s="72"/>
      <c r="BI49" s="73"/>
      <c r="BJ49" s="35"/>
      <c r="BK49" s="35"/>
      <c r="BL49" s="72"/>
      <c r="BM49" s="73"/>
      <c r="BN49" s="35">
        <v>-103.648</v>
      </c>
      <c r="BO49" s="35">
        <v>-24</v>
      </c>
      <c r="BP49" s="72"/>
      <c r="BQ49" s="73"/>
      <c r="BR49" s="35">
        <f>BR16</f>
        <v>-59.511000000000003</v>
      </c>
      <c r="BS49" s="35">
        <f>BS16</f>
        <v>97.507000000000005</v>
      </c>
      <c r="BT49" s="72"/>
      <c r="BU49" s="73"/>
      <c r="BV49" s="35">
        <v>6</v>
      </c>
      <c r="BW49" s="35">
        <v>22.01</v>
      </c>
      <c r="BX49" s="72"/>
      <c r="BY49" s="73"/>
      <c r="BZ49" s="35"/>
      <c r="CA49" s="35"/>
      <c r="CB49" s="72"/>
      <c r="CC49" s="73"/>
      <c r="CD49" s="35">
        <v>1473.241</v>
      </c>
      <c r="CE49" s="35">
        <v>743.34900000000005</v>
      </c>
      <c r="CF49" s="72"/>
      <c r="CG49" s="73"/>
      <c r="CH49" s="35"/>
      <c r="CI49" s="35"/>
      <c r="CJ49" s="72"/>
      <c r="CK49" s="73"/>
      <c r="CL49" s="35"/>
      <c r="CM49" s="35"/>
      <c r="CN49" s="72"/>
      <c r="CO49" s="73"/>
      <c r="CP49" s="35">
        <v>32.683</v>
      </c>
      <c r="CQ49" s="35">
        <v>33.606000000000002</v>
      </c>
      <c r="CR49" s="72"/>
      <c r="CS49" s="73"/>
      <c r="CT49" s="35">
        <f>588+317</f>
        <v>905</v>
      </c>
      <c r="CU49" s="35">
        <f>87-130</f>
        <v>-43</v>
      </c>
      <c r="CV49" s="72"/>
      <c r="CW49" s="73"/>
      <c r="CX49" s="35"/>
      <c r="CY49" s="35">
        <v>0</v>
      </c>
      <c r="CZ49" s="72"/>
      <c r="DA49" s="73"/>
      <c r="DB49" s="35"/>
      <c r="DC49" s="35"/>
      <c r="DD49" s="72"/>
      <c r="DE49" s="73"/>
      <c r="DF49" s="35">
        <v>539.96699999999998</v>
      </c>
      <c r="DG49" s="35">
        <v>226.22800000000001</v>
      </c>
      <c r="DH49" s="72"/>
      <c r="DI49" s="73"/>
      <c r="DJ49" s="35"/>
      <c r="DK49" s="35"/>
      <c r="DL49" s="35"/>
      <c r="DM49" s="35"/>
      <c r="DN49" s="35"/>
      <c r="DO49" s="72"/>
      <c r="DP49" s="73"/>
      <c r="DQ49" s="35"/>
      <c r="DR49" s="35"/>
      <c r="DS49" s="72"/>
      <c r="DT49" s="73"/>
      <c r="DU49" s="35">
        <f>DU16</f>
        <v>938.7</v>
      </c>
      <c r="DV49" s="35">
        <f>DV16</f>
        <v>1101.662</v>
      </c>
    </row>
    <row r="50" spans="1:177" s="74" customFormat="1" ht="12.75" customHeight="1" x14ac:dyDescent="0.2">
      <c r="A50" s="38"/>
      <c r="B50" s="82" t="s">
        <v>154</v>
      </c>
      <c r="C50" s="46"/>
      <c r="D50" s="47"/>
      <c r="E50" s="43">
        <v>0</v>
      </c>
      <c r="F50" s="43"/>
      <c r="G50" s="46"/>
      <c r="H50" s="47"/>
      <c r="I50" s="43"/>
      <c r="J50" s="43"/>
      <c r="K50" s="46"/>
      <c r="L50" s="47"/>
      <c r="M50" s="43">
        <v>-233</v>
      </c>
      <c r="N50" s="43">
        <v>-234</v>
      </c>
      <c r="O50" s="46"/>
      <c r="P50" s="47"/>
      <c r="Q50" s="43"/>
      <c r="R50" s="43"/>
      <c r="S50" s="43"/>
      <c r="T50" s="46"/>
      <c r="U50" s="47"/>
      <c r="V50" s="43"/>
      <c r="W50" s="43"/>
      <c r="X50" s="46"/>
      <c r="Y50" s="47"/>
      <c r="Z50" s="43"/>
      <c r="AA50" s="43"/>
      <c r="AB50" s="46"/>
      <c r="AC50" s="47"/>
      <c r="AD50" s="43">
        <f>-1615.225+283.824</f>
        <v>-1331.4009999999998</v>
      </c>
      <c r="AE50" s="43">
        <f>-1908.982+53.876</f>
        <v>-1855.106</v>
      </c>
      <c r="AF50" s="46"/>
      <c r="AG50" s="47"/>
      <c r="AH50" s="43">
        <f>0</f>
        <v>0</v>
      </c>
      <c r="AI50" s="43">
        <v>0</v>
      </c>
      <c r="AJ50" s="46"/>
      <c r="AK50" s="47"/>
      <c r="AL50" s="43"/>
      <c r="AM50" s="43"/>
      <c r="AN50" s="46"/>
      <c r="AO50" s="47"/>
      <c r="AP50" s="43">
        <v>0</v>
      </c>
      <c r="AQ50" s="43">
        <v>0</v>
      </c>
      <c r="AR50" s="46"/>
      <c r="AS50" s="47"/>
      <c r="AT50" s="43"/>
      <c r="AU50" s="43">
        <v>65</v>
      </c>
      <c r="AV50" s="46"/>
      <c r="AW50" s="47"/>
      <c r="AX50" s="43"/>
      <c r="AY50" s="43"/>
      <c r="AZ50" s="46"/>
      <c r="BA50" s="47"/>
      <c r="BB50" s="43">
        <v>0</v>
      </c>
      <c r="BC50" s="43"/>
      <c r="BD50" s="46"/>
      <c r="BE50" s="47"/>
      <c r="BF50" s="43"/>
      <c r="BG50" s="43"/>
      <c r="BH50" s="46"/>
      <c r="BI50" s="47"/>
      <c r="BJ50" s="43"/>
      <c r="BK50" s="43"/>
      <c r="BL50" s="46"/>
      <c r="BM50" s="47"/>
      <c r="BN50" s="43">
        <v>0</v>
      </c>
      <c r="BO50" s="43">
        <v>0</v>
      </c>
      <c r="BP50" s="46"/>
      <c r="BQ50" s="47"/>
      <c r="BR50" s="43">
        <f>BR48+BR49-BR51</f>
        <v>0</v>
      </c>
      <c r="BS50" s="43">
        <f>BS48+BS49-BS51</f>
        <v>22.286000000000001</v>
      </c>
      <c r="BT50" s="46"/>
      <c r="BU50" s="47"/>
      <c r="BV50" s="43">
        <v>-0.64300000000000002</v>
      </c>
      <c r="BW50" s="43">
        <v>0</v>
      </c>
      <c r="BX50" s="46"/>
      <c r="BY50" s="47"/>
      <c r="BZ50" s="43"/>
      <c r="CA50" s="43"/>
      <c r="CB50" s="46"/>
      <c r="CC50" s="47"/>
      <c r="CD50" s="43">
        <v>0</v>
      </c>
      <c r="CE50" s="43">
        <v>0</v>
      </c>
      <c r="CF50" s="46"/>
      <c r="CG50" s="47"/>
      <c r="CH50" s="43"/>
      <c r="CI50" s="43"/>
      <c r="CJ50" s="46"/>
      <c r="CK50" s="47"/>
      <c r="CL50" s="43"/>
      <c r="CM50" s="43"/>
      <c r="CN50" s="46"/>
      <c r="CO50" s="47"/>
      <c r="CP50" s="43"/>
      <c r="CQ50" s="43"/>
      <c r="CR50" s="46"/>
      <c r="CS50" s="47"/>
      <c r="CT50" s="43">
        <v>0</v>
      </c>
      <c r="CU50" s="43">
        <v>0</v>
      </c>
      <c r="CV50" s="46"/>
      <c r="CW50" s="47"/>
      <c r="CX50" s="43"/>
      <c r="CY50" s="43">
        <v>0</v>
      </c>
      <c r="CZ50" s="46"/>
      <c r="DA50" s="47"/>
      <c r="DB50" s="43"/>
      <c r="DC50" s="43"/>
      <c r="DD50" s="46"/>
      <c r="DE50" s="47"/>
      <c r="DF50" s="43">
        <v>0</v>
      </c>
      <c r="DG50" s="43">
        <v>0</v>
      </c>
      <c r="DH50" s="46"/>
      <c r="DI50" s="47"/>
      <c r="DJ50" s="43"/>
      <c r="DK50" s="43"/>
      <c r="DL50" s="43"/>
      <c r="DM50" s="43"/>
      <c r="DN50" s="43"/>
      <c r="DO50" s="46"/>
      <c r="DP50" s="47"/>
      <c r="DQ50" s="43"/>
      <c r="DR50" s="43"/>
      <c r="DS50" s="46"/>
      <c r="DT50" s="47"/>
      <c r="DU50" s="43">
        <f>0</f>
        <v>0</v>
      </c>
      <c r="DV50" s="43">
        <v>0</v>
      </c>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row>
    <row r="51" spans="1:177" ht="12.75" customHeight="1" x14ac:dyDescent="0.2">
      <c r="A51" s="74"/>
      <c r="B51" s="5" t="s">
        <v>155</v>
      </c>
      <c r="C51" s="72"/>
      <c r="D51" s="73"/>
      <c r="E51" s="32">
        <f>SUM(E48:E50)</f>
        <v>75.177000000000007</v>
      </c>
      <c r="F51" s="32"/>
      <c r="G51" s="72"/>
      <c r="H51" s="73"/>
      <c r="I51" s="32"/>
      <c r="J51" s="32"/>
      <c r="K51" s="72"/>
      <c r="L51" s="73"/>
      <c r="M51" s="32">
        <f>SUM(M48:M50)</f>
        <v>696</v>
      </c>
      <c r="N51" s="32">
        <f>SUM(N48:N50)</f>
        <v>706</v>
      </c>
      <c r="O51" s="72"/>
      <c r="P51" s="73"/>
      <c r="Q51" s="32"/>
      <c r="R51" s="32"/>
      <c r="S51" s="32"/>
      <c r="T51" s="72"/>
      <c r="U51" s="73"/>
      <c r="V51" s="32"/>
      <c r="W51" s="32"/>
      <c r="X51" s="72"/>
      <c r="Y51" s="73"/>
      <c r="Z51" s="32"/>
      <c r="AA51" s="32"/>
      <c r="AB51" s="72"/>
      <c r="AC51" s="73"/>
      <c r="AD51" s="32">
        <f>SUM(AD48:AD50)</f>
        <v>2143.431</v>
      </c>
      <c r="AE51" s="32">
        <f>SUM(AE48:AE50)</f>
        <v>1520.5510000000002</v>
      </c>
      <c r="AF51" s="72"/>
      <c r="AG51" s="73"/>
      <c r="AH51" s="32">
        <f>SUM(AH48:AH50)</f>
        <v>6934</v>
      </c>
      <c r="AI51" s="32">
        <f>SUM(AI48:AI50)</f>
        <v>8660</v>
      </c>
      <c r="AJ51" s="72"/>
      <c r="AK51" s="73"/>
      <c r="AL51" s="32"/>
      <c r="AM51" s="32"/>
      <c r="AN51" s="72"/>
      <c r="AO51" s="73"/>
      <c r="AP51" s="32">
        <f>SUM(AP48:AP50)</f>
        <v>181.5</v>
      </c>
      <c r="AQ51" s="32">
        <f>SUM(AQ48:AQ50)</f>
        <v>25</v>
      </c>
      <c r="AR51" s="72"/>
      <c r="AS51" s="73"/>
      <c r="AT51" s="32">
        <f>SUM(AT48:AT50)</f>
        <v>4056.0540000000001</v>
      </c>
      <c r="AU51" s="32">
        <f>SUM(AU48:AU50)</f>
        <v>1912.1669999999999</v>
      </c>
      <c r="AV51" s="72"/>
      <c r="AW51" s="73"/>
      <c r="AX51" s="32"/>
      <c r="AY51" s="32"/>
      <c r="AZ51" s="72"/>
      <c r="BA51" s="73"/>
      <c r="BB51" s="32">
        <v>0</v>
      </c>
      <c r="BC51" s="32"/>
      <c r="BD51" s="72"/>
      <c r="BE51" s="73"/>
      <c r="BF51" s="32"/>
      <c r="BG51" s="32"/>
      <c r="BH51" s="72"/>
      <c r="BI51" s="73"/>
      <c r="BJ51" s="32"/>
      <c r="BK51" s="32"/>
      <c r="BL51" s="72"/>
      <c r="BM51" s="73"/>
      <c r="BN51" s="32">
        <f>BN46</f>
        <v>159.352</v>
      </c>
      <c r="BO51" s="32">
        <f>BO46</f>
        <v>263</v>
      </c>
      <c r="BP51" s="72"/>
      <c r="BQ51" s="73"/>
      <c r="BR51" s="32">
        <f>BR46</f>
        <v>123.57</v>
      </c>
      <c r="BS51" s="32">
        <f>BS46</f>
        <v>183.084</v>
      </c>
      <c r="BT51" s="72"/>
      <c r="BU51" s="73"/>
      <c r="BV51" s="32">
        <f>SUM(BV48:BV50)</f>
        <v>51.61</v>
      </c>
      <c r="BW51" s="32">
        <f>SUM(BW48:BW50)</f>
        <v>46.253</v>
      </c>
      <c r="BX51" s="72"/>
      <c r="BY51" s="73"/>
      <c r="BZ51" s="32"/>
      <c r="CA51" s="32"/>
      <c r="CB51" s="72"/>
      <c r="CC51" s="73"/>
      <c r="CD51" s="32">
        <f>SUM(CD48:CD50)</f>
        <v>6777.0910000000003</v>
      </c>
      <c r="CE51" s="32">
        <f>SUM(CE48:CE50)</f>
        <v>5303.8510000000006</v>
      </c>
      <c r="CF51" s="72"/>
      <c r="CG51" s="73"/>
      <c r="CH51" s="32"/>
      <c r="CI51" s="32"/>
      <c r="CJ51" s="72"/>
      <c r="CK51" s="73"/>
      <c r="CL51" s="32"/>
      <c r="CM51" s="32"/>
      <c r="CN51" s="72"/>
      <c r="CO51" s="73"/>
      <c r="CP51" s="32"/>
      <c r="CQ51" s="32"/>
      <c r="CR51" s="72"/>
      <c r="CS51" s="73"/>
      <c r="CT51" s="32">
        <f>SUM(CT48:CT50)</f>
        <v>2011</v>
      </c>
      <c r="CU51" s="32">
        <f>SUM(CU48:CU50)</f>
        <v>1106</v>
      </c>
      <c r="CV51" s="72"/>
      <c r="CW51" s="73"/>
      <c r="CX51" s="32"/>
      <c r="CY51" s="32">
        <v>0</v>
      </c>
      <c r="CZ51" s="72"/>
      <c r="DA51" s="73"/>
      <c r="DB51" s="32"/>
      <c r="DC51" s="32"/>
      <c r="DD51" s="72"/>
      <c r="DE51" s="73"/>
      <c r="DF51" s="32">
        <f>SUM(DF48:DF50)</f>
        <v>1895.9189999999999</v>
      </c>
      <c r="DG51" s="32">
        <f>SUM(DG48:DG50)</f>
        <v>1355.952</v>
      </c>
      <c r="DH51" s="72"/>
      <c r="DI51" s="73"/>
      <c r="DJ51" s="32"/>
      <c r="DK51" s="32"/>
      <c r="DL51" s="32"/>
      <c r="DM51" s="32"/>
      <c r="DN51" s="32"/>
      <c r="DO51" s="72"/>
      <c r="DP51" s="73"/>
      <c r="DQ51" s="32"/>
      <c r="DR51" s="32"/>
      <c r="DS51" s="72"/>
      <c r="DT51" s="73"/>
      <c r="DU51" s="32">
        <f>SUM(DU48:DU50)</f>
        <v>7495</v>
      </c>
      <c r="DV51" s="32">
        <f>SUM(DV48:DV50)</f>
        <v>6556.3</v>
      </c>
    </row>
    <row r="52" spans="1:177" ht="12.75" customHeight="1" x14ac:dyDescent="0.2">
      <c r="A52" s="74"/>
      <c r="B52" s="5"/>
      <c r="C52" s="72"/>
      <c r="D52" s="73"/>
      <c r="E52" s="32" t="b">
        <f>E49=E16</f>
        <v>1</v>
      </c>
      <c r="F52" s="32"/>
      <c r="G52" s="72"/>
      <c r="H52" s="73"/>
      <c r="I52" s="32" t="b">
        <f>I49=I16</f>
        <v>1</v>
      </c>
      <c r="J52" s="32"/>
      <c r="K52" s="72"/>
      <c r="L52" s="73"/>
      <c r="M52" s="32" t="b">
        <f>M49=M16</f>
        <v>1</v>
      </c>
      <c r="N52" s="32"/>
      <c r="O52" s="72"/>
      <c r="P52" s="73"/>
      <c r="Q52" s="32"/>
      <c r="R52" s="32" t="b">
        <f>R49=R16</f>
        <v>0</v>
      </c>
      <c r="S52" s="32"/>
      <c r="T52" s="72"/>
      <c r="U52" s="73"/>
      <c r="V52" s="32" t="b">
        <f>V49=V16</f>
        <v>0</v>
      </c>
      <c r="W52" s="32"/>
      <c r="X52" s="72"/>
      <c r="Y52" s="73"/>
      <c r="Z52" s="32" t="b">
        <f>Z49=Z16</f>
        <v>1</v>
      </c>
      <c r="AA52" s="32"/>
      <c r="AB52" s="72"/>
      <c r="AC52" s="73"/>
      <c r="AD52" s="32" t="b">
        <f>AD49=AD16</f>
        <v>1</v>
      </c>
      <c r="AE52" s="32"/>
      <c r="AF52" s="72"/>
      <c r="AG52" s="73"/>
      <c r="AH52" s="32" t="b">
        <f>AH49=AH16</f>
        <v>1</v>
      </c>
      <c r="AI52" s="32"/>
      <c r="AJ52" s="72"/>
      <c r="AK52" s="73"/>
      <c r="AL52" s="32" t="b">
        <f>AL49=AL16</f>
        <v>1</v>
      </c>
      <c r="AM52" s="32"/>
      <c r="AN52" s="72"/>
      <c r="AO52" s="73"/>
      <c r="AP52" s="32" t="b">
        <f>AP49=AP16</f>
        <v>1</v>
      </c>
      <c r="AQ52" s="32"/>
      <c r="AR52" s="72"/>
      <c r="AS52" s="73"/>
      <c r="AT52" s="32" t="b">
        <f>AT49=AT16</f>
        <v>1</v>
      </c>
      <c r="AU52" s="32"/>
      <c r="AV52" s="72"/>
      <c r="AW52" s="73"/>
      <c r="AX52" s="32" t="b">
        <f>AX49=AX16</f>
        <v>1</v>
      </c>
      <c r="AY52" s="32"/>
      <c r="AZ52" s="72"/>
      <c r="BA52" s="73"/>
      <c r="BB52" s="32" t="b">
        <f>BB49=BB16</f>
        <v>1</v>
      </c>
      <c r="BC52" s="32"/>
      <c r="BD52" s="72"/>
      <c r="BE52" s="73"/>
      <c r="BF52" s="32" t="b">
        <f>BF49=BF16</f>
        <v>1</v>
      </c>
      <c r="BG52" s="32"/>
      <c r="BH52" s="72"/>
      <c r="BI52" s="73"/>
      <c r="BJ52" s="32" t="b">
        <f>BJ49=BJ16</f>
        <v>1</v>
      </c>
      <c r="BK52" s="32"/>
      <c r="BL52" s="72"/>
      <c r="BM52" s="73"/>
      <c r="BN52" s="32" t="b">
        <f>BN49=BN16</f>
        <v>1</v>
      </c>
      <c r="BO52" s="32"/>
      <c r="BP52" s="72"/>
      <c r="BQ52" s="73"/>
      <c r="BR52" s="32" t="b">
        <f>BR49=BR16</f>
        <v>1</v>
      </c>
      <c r="BS52" s="32"/>
      <c r="BT52" s="72"/>
      <c r="BU52" s="73"/>
      <c r="BV52" s="32" t="b">
        <f>BV49=BV16</f>
        <v>1</v>
      </c>
      <c r="BW52" s="32"/>
      <c r="BX52" s="72"/>
      <c r="BY52" s="73"/>
      <c r="BZ52" s="32" t="b">
        <f>BZ49=BZ16</f>
        <v>1</v>
      </c>
      <c r="CA52" s="32"/>
      <c r="CB52" s="72"/>
      <c r="CC52" s="73"/>
      <c r="CD52" s="32" t="b">
        <f>CD49=CD16</f>
        <v>1</v>
      </c>
      <c r="CE52" s="32"/>
      <c r="CF52" s="72"/>
      <c r="CG52" s="73"/>
      <c r="CH52" s="32" t="b">
        <f>CH49=CH16</f>
        <v>1</v>
      </c>
      <c r="CI52" s="32"/>
      <c r="CJ52" s="72"/>
      <c r="CK52" s="73"/>
      <c r="CL52" s="32" t="b">
        <f>CL49=CL16</f>
        <v>1</v>
      </c>
      <c r="CM52" s="32"/>
      <c r="CN52" s="72"/>
      <c r="CO52" s="73"/>
      <c r="CP52" s="32" t="b">
        <f>CP49=CP16</f>
        <v>1</v>
      </c>
      <c r="CQ52" s="32"/>
      <c r="CR52" s="72"/>
      <c r="CS52" s="73"/>
      <c r="CT52" s="32" t="b">
        <f>CT49=CT16</f>
        <v>1</v>
      </c>
      <c r="CU52" s="32"/>
      <c r="CV52" s="72"/>
      <c r="CW52" s="73"/>
      <c r="CX52" s="32" t="b">
        <f>CX49=CX16</f>
        <v>1</v>
      </c>
      <c r="CY52" s="32"/>
      <c r="CZ52" s="72"/>
      <c r="DA52" s="73"/>
      <c r="DB52" s="32" t="b">
        <f>DB49=DB16</f>
        <v>1</v>
      </c>
      <c r="DC52" s="32"/>
      <c r="DD52" s="72"/>
      <c r="DE52" s="73"/>
      <c r="DF52" s="32" t="b">
        <f>DF49=DF16</f>
        <v>1</v>
      </c>
      <c r="DG52" s="32"/>
      <c r="DH52" s="72"/>
      <c r="DI52" s="73"/>
      <c r="DJ52" s="32" t="b">
        <f>DJ49=DJ16</f>
        <v>1</v>
      </c>
      <c r="DK52" s="32"/>
      <c r="DL52" s="32"/>
      <c r="DM52" s="32"/>
      <c r="DN52" s="32"/>
      <c r="DO52" s="72"/>
      <c r="DP52" s="73"/>
      <c r="DQ52" s="32" t="b">
        <f>DQ49=DQ16</f>
        <v>1</v>
      </c>
      <c r="DR52" s="32"/>
      <c r="DS52" s="72"/>
      <c r="DT52" s="73"/>
      <c r="DU52" s="32" t="b">
        <f>DU49=DU16</f>
        <v>1</v>
      </c>
      <c r="DV52" s="32"/>
    </row>
    <row r="53" spans="1:177" ht="12.75" customHeight="1" x14ac:dyDescent="0.2">
      <c r="A53" s="84" t="s">
        <v>156</v>
      </c>
      <c r="B53" s="85"/>
      <c r="C53" s="91"/>
      <c r="D53" s="92"/>
      <c r="E53" s="90"/>
      <c r="F53" s="90"/>
      <c r="G53" s="91"/>
      <c r="H53" s="92"/>
      <c r="I53" s="90"/>
      <c r="J53" s="90"/>
      <c r="K53" s="91"/>
      <c r="L53" s="92"/>
      <c r="M53" s="90"/>
      <c r="N53" s="90"/>
      <c r="O53" s="91"/>
      <c r="P53" s="92"/>
      <c r="Q53" s="90"/>
      <c r="R53" s="90"/>
      <c r="S53" s="90"/>
      <c r="T53" s="91"/>
      <c r="U53" s="92"/>
      <c r="V53" s="90"/>
      <c r="W53" s="90"/>
      <c r="X53" s="91"/>
      <c r="Y53" s="92"/>
      <c r="Z53" s="90"/>
      <c r="AA53" s="90"/>
      <c r="AB53" s="91"/>
      <c r="AC53" s="92"/>
      <c r="AD53" s="90"/>
      <c r="AE53" s="90"/>
      <c r="AF53" s="91"/>
      <c r="AG53" s="92"/>
      <c r="AH53" s="90"/>
      <c r="AI53" s="90"/>
      <c r="AJ53" s="91"/>
      <c r="AK53" s="92"/>
      <c r="AL53" s="90"/>
      <c r="AM53" s="90"/>
      <c r="AN53" s="91"/>
      <c r="AO53" s="92"/>
      <c r="AP53" s="90"/>
      <c r="AQ53" s="90"/>
      <c r="AR53" s="91"/>
      <c r="AS53" s="92"/>
      <c r="AT53" s="90"/>
      <c r="AU53" s="90"/>
      <c r="AV53" s="91"/>
      <c r="AW53" s="92"/>
      <c r="AX53" s="90"/>
      <c r="AY53" s="90"/>
      <c r="AZ53" s="91"/>
      <c r="BA53" s="92"/>
      <c r="BB53" s="90"/>
      <c r="BC53" s="90"/>
      <c r="BD53" s="91"/>
      <c r="BE53" s="92"/>
      <c r="BF53" s="90"/>
      <c r="BG53" s="90"/>
      <c r="BH53" s="91"/>
      <c r="BI53" s="92"/>
      <c r="BJ53" s="90"/>
      <c r="BK53" s="90"/>
      <c r="BL53" s="91"/>
      <c r="BM53" s="92"/>
      <c r="BN53" s="90"/>
      <c r="BO53" s="90"/>
      <c r="BP53" s="91"/>
      <c r="BQ53" s="92"/>
      <c r="BR53" s="90"/>
      <c r="BS53" s="90"/>
      <c r="BT53" s="91"/>
      <c r="BU53" s="92"/>
      <c r="BV53" s="90"/>
      <c r="BW53" s="90"/>
      <c r="BX53" s="91"/>
      <c r="BY53" s="92"/>
      <c r="BZ53" s="90"/>
      <c r="CA53" s="90"/>
      <c r="CB53" s="91"/>
      <c r="CC53" s="92"/>
      <c r="CD53" s="90"/>
      <c r="CE53" s="90"/>
      <c r="CF53" s="91"/>
      <c r="CG53" s="92"/>
      <c r="CH53" s="90"/>
      <c r="CI53" s="90"/>
      <c r="CJ53" s="91"/>
      <c r="CK53" s="92"/>
      <c r="CL53" s="90"/>
      <c r="CM53" s="90"/>
      <c r="CN53" s="91"/>
      <c r="CO53" s="92"/>
      <c r="CP53" s="90"/>
      <c r="CQ53" s="90"/>
      <c r="CR53" s="91"/>
      <c r="CS53" s="92"/>
      <c r="CT53" s="90"/>
      <c r="CU53" s="90"/>
      <c r="CV53" s="91"/>
      <c r="CW53" s="92"/>
      <c r="CX53" s="90"/>
      <c r="CY53" s="90"/>
      <c r="CZ53" s="91"/>
      <c r="DA53" s="92"/>
      <c r="DB53" s="90"/>
      <c r="DC53" s="90"/>
      <c r="DD53" s="91"/>
      <c r="DE53" s="92"/>
      <c r="DF53" s="90"/>
      <c r="DG53" s="90"/>
      <c r="DH53" s="91"/>
      <c r="DI53" s="92"/>
      <c r="DJ53" s="90"/>
      <c r="DK53" s="90"/>
      <c r="DL53" s="90"/>
      <c r="DM53" s="90"/>
      <c r="DN53" s="90"/>
      <c r="DO53" s="91"/>
      <c r="DP53" s="92"/>
      <c r="DQ53" s="90"/>
      <c r="DR53" s="90"/>
      <c r="DS53" s="91"/>
      <c r="DT53" s="92"/>
      <c r="DU53" s="90"/>
      <c r="DV53" s="90"/>
    </row>
    <row r="54" spans="1:177" s="74" customFormat="1" ht="12.75" customHeight="1" x14ac:dyDescent="0.2">
      <c r="A54" s="93"/>
      <c r="B54" s="93" t="s">
        <v>158</v>
      </c>
      <c r="C54" s="101"/>
      <c r="D54" s="102"/>
      <c r="E54" s="103"/>
      <c r="F54" s="103"/>
      <c r="G54" s="101"/>
      <c r="H54" s="102"/>
      <c r="I54" s="103"/>
      <c r="J54" s="103"/>
      <c r="K54" s="101"/>
      <c r="L54" s="102"/>
      <c r="M54" s="103"/>
      <c r="N54" s="103"/>
      <c r="O54" s="101"/>
      <c r="P54" s="102"/>
      <c r="T54" s="101"/>
      <c r="U54" s="102"/>
      <c r="V54" s="103">
        <v>0</v>
      </c>
      <c r="W54" s="103">
        <v>2.2000000000000002</v>
      </c>
      <c r="X54" s="101"/>
      <c r="Y54" s="102"/>
      <c r="Z54" s="103">
        <v>0</v>
      </c>
      <c r="AA54" s="103">
        <v>312.90100000000001</v>
      </c>
      <c r="AB54" s="101"/>
      <c r="AC54" s="102"/>
      <c r="AD54" s="103"/>
      <c r="AE54" s="103"/>
      <c r="AF54" s="101"/>
      <c r="AG54" s="102"/>
      <c r="AH54" s="103"/>
      <c r="AI54" s="103"/>
      <c r="AJ54" s="101"/>
      <c r="AK54" s="102"/>
      <c r="AL54" s="103"/>
      <c r="AM54" s="103"/>
      <c r="AN54" s="101"/>
      <c r="AO54" s="102"/>
      <c r="AP54" s="103"/>
      <c r="AQ54" s="103"/>
      <c r="AR54" s="101"/>
      <c r="AS54" s="102"/>
      <c r="AT54" s="103"/>
      <c r="AU54" s="103"/>
      <c r="AV54" s="101"/>
      <c r="AW54" s="102"/>
      <c r="AX54" s="103"/>
      <c r="AY54" s="103"/>
      <c r="AZ54" s="101"/>
      <c r="BA54" s="102"/>
      <c r="BB54" s="103"/>
      <c r="BC54" s="103"/>
      <c r="BD54" s="101"/>
      <c r="BE54" s="102"/>
      <c r="BF54" s="103"/>
      <c r="BG54" s="103"/>
      <c r="BH54" s="101"/>
      <c r="BI54" s="102"/>
      <c r="BJ54" s="103"/>
      <c r="BK54" s="103"/>
      <c r="BL54" s="101"/>
      <c r="BM54" s="102"/>
      <c r="BN54" s="103"/>
      <c r="BO54" s="103"/>
      <c r="BP54" s="101"/>
      <c r="BQ54" s="102"/>
      <c r="BR54" s="103"/>
      <c r="BS54" s="103"/>
      <c r="BT54" s="101"/>
      <c r="BU54" s="102"/>
      <c r="BV54" s="103"/>
      <c r="BW54" s="103"/>
      <c r="BX54" s="101"/>
      <c r="BY54" s="102"/>
      <c r="BZ54" s="103"/>
      <c r="CA54" s="103"/>
      <c r="CB54" s="101"/>
      <c r="CC54" s="102"/>
      <c r="CD54" s="103"/>
      <c r="CE54" s="103"/>
      <c r="CF54" s="101"/>
      <c r="CG54" s="102"/>
      <c r="CH54" s="103"/>
      <c r="CI54" s="103"/>
      <c r="CJ54" s="101"/>
      <c r="CK54" s="102"/>
      <c r="CL54" s="103"/>
      <c r="CM54" s="103"/>
      <c r="CN54" s="101"/>
      <c r="CO54" s="102"/>
      <c r="CP54" s="103"/>
      <c r="CQ54" s="103"/>
      <c r="CR54" s="101"/>
      <c r="CS54" s="102"/>
      <c r="CT54" s="103"/>
      <c r="CU54" s="103"/>
      <c r="CV54" s="101"/>
      <c r="CW54" s="102"/>
      <c r="CX54" s="103"/>
      <c r="CY54" s="103"/>
      <c r="CZ54" s="101"/>
      <c r="DA54" s="102"/>
      <c r="DB54" s="103"/>
      <c r="DC54" s="103"/>
      <c r="DD54" s="101"/>
      <c r="DE54" s="102"/>
      <c r="DF54" s="103">
        <v>177.804</v>
      </c>
      <c r="DG54" s="103">
        <v>200.66900000000001</v>
      </c>
      <c r="DH54" s="101"/>
      <c r="DI54" s="102"/>
      <c r="DJ54" s="103">
        <f>759554</f>
        <v>759554</v>
      </c>
      <c r="DK54" s="103">
        <v>680236</v>
      </c>
      <c r="DL54" s="103"/>
      <c r="DM54" s="103"/>
      <c r="DN54" s="103"/>
      <c r="DO54" s="101"/>
      <c r="DP54" s="102"/>
      <c r="DQ54" s="103">
        <f>66.874+248.349+358.667+4.025</f>
        <v>677.91499999999985</v>
      </c>
      <c r="DR54" s="103">
        <f>383.874+36.591+174.015+0.998</f>
        <v>595.47800000000007</v>
      </c>
      <c r="DS54" s="101"/>
      <c r="DT54" s="102"/>
      <c r="DU54" s="103">
        <f>1381.634</f>
        <v>1381.634</v>
      </c>
      <c r="DV54" s="103">
        <v>841.50599999999997</v>
      </c>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row>
    <row r="55" spans="1:177" s="74" customFormat="1" ht="12.75" customHeight="1" x14ac:dyDescent="0.2">
      <c r="A55" s="93"/>
      <c r="B55" s="93" t="s">
        <v>159</v>
      </c>
      <c r="C55" s="101"/>
      <c r="D55" s="102"/>
      <c r="E55" s="103">
        <f>74.784+55.131</f>
        <v>129.91500000000002</v>
      </c>
      <c r="F55" s="200"/>
      <c r="G55" s="101"/>
      <c r="H55" s="102"/>
      <c r="I55" s="103"/>
      <c r="J55" s="200"/>
      <c r="K55" s="101"/>
      <c r="L55" s="102"/>
      <c r="M55" s="103"/>
      <c r="N55" s="200"/>
      <c r="O55" s="101"/>
      <c r="P55" s="102"/>
      <c r="T55" s="101"/>
      <c r="U55" s="102"/>
      <c r="V55" s="103">
        <v>1.2</v>
      </c>
      <c r="W55" s="200">
        <v>0.6</v>
      </c>
      <c r="X55" s="101"/>
      <c r="Y55" s="102"/>
      <c r="Z55" s="103">
        <v>132.893</v>
      </c>
      <c r="AA55" s="200">
        <v>0</v>
      </c>
      <c r="AB55" s="101"/>
      <c r="AC55" s="102"/>
      <c r="AD55" s="103"/>
      <c r="AE55" s="200"/>
      <c r="AF55" s="101"/>
      <c r="AG55" s="102"/>
      <c r="AH55" s="103"/>
      <c r="AI55" s="200"/>
      <c r="AJ55" s="101"/>
      <c r="AK55" s="102"/>
      <c r="AL55" s="103"/>
      <c r="AM55" s="200"/>
      <c r="AN55" s="101"/>
      <c r="AO55" s="102"/>
      <c r="AP55" s="103">
        <v>518.90700000000004</v>
      </c>
      <c r="AQ55" s="200">
        <v>113.905</v>
      </c>
      <c r="AR55" s="101"/>
      <c r="AS55" s="102"/>
      <c r="AT55" s="103"/>
      <c r="AU55" s="200"/>
      <c r="AV55" s="101"/>
      <c r="AW55" s="102"/>
      <c r="AX55" s="103"/>
      <c r="AY55" s="200"/>
      <c r="AZ55" s="101"/>
      <c r="BA55" s="102"/>
      <c r="BB55" s="103">
        <v>63.777999999999999</v>
      </c>
      <c r="BC55" s="200"/>
      <c r="BD55" s="101"/>
      <c r="BE55" s="102"/>
      <c r="BF55" s="103"/>
      <c r="BG55" s="200"/>
      <c r="BH55" s="101"/>
      <c r="BI55" s="102"/>
      <c r="BJ55" s="103"/>
      <c r="BK55" s="200"/>
      <c r="BL55" s="101"/>
      <c r="BM55" s="102"/>
      <c r="BN55" s="103"/>
      <c r="BO55" s="200"/>
      <c r="BP55" s="101"/>
      <c r="BQ55" s="102"/>
      <c r="BR55" s="103"/>
      <c r="BS55" s="200"/>
      <c r="BT55" s="101"/>
      <c r="BU55" s="102"/>
      <c r="BV55" s="200"/>
      <c r="BW55" s="200"/>
      <c r="BX55" s="101"/>
      <c r="BY55" s="102"/>
      <c r="BZ55" s="103"/>
      <c r="CA55" s="200"/>
      <c r="CB55" s="101"/>
      <c r="CC55" s="102"/>
      <c r="CD55" s="103"/>
      <c r="CE55" s="200"/>
      <c r="CF55" s="101"/>
      <c r="CG55" s="102"/>
      <c r="CH55" s="103"/>
      <c r="CI55" s="200"/>
      <c r="CJ55" s="101"/>
      <c r="CK55" s="102"/>
      <c r="CL55" s="103"/>
      <c r="CM55" s="200"/>
      <c r="CN55" s="101"/>
      <c r="CO55" s="102"/>
      <c r="CP55" s="103"/>
      <c r="CQ55" s="200"/>
      <c r="CR55" s="101"/>
      <c r="CS55" s="102"/>
      <c r="CT55" s="103"/>
      <c r="CU55" s="200"/>
      <c r="CV55" s="101"/>
      <c r="CW55" s="102"/>
      <c r="CX55" s="103"/>
      <c r="CY55" s="103"/>
      <c r="CZ55" s="101"/>
      <c r="DA55" s="102"/>
      <c r="DB55" s="103"/>
      <c r="DC55" s="200"/>
      <c r="DD55" s="101"/>
      <c r="DE55" s="102"/>
      <c r="DF55" s="103">
        <v>2328.6889999999999</v>
      </c>
      <c r="DG55" s="200">
        <f>2269.808</f>
        <v>2269.808</v>
      </c>
      <c r="DH55" s="101"/>
      <c r="DI55" s="102"/>
      <c r="DJ55" s="103">
        <f>372341</f>
        <v>372341</v>
      </c>
      <c r="DK55" s="200">
        <v>319836</v>
      </c>
      <c r="DL55" s="103"/>
      <c r="DM55" s="103"/>
      <c r="DN55" s="200"/>
      <c r="DO55" s="101"/>
      <c r="DP55" s="102"/>
      <c r="DQ55" s="103">
        <f>501.711+282.985+540.172+18.801</f>
        <v>1343.6689999999999</v>
      </c>
      <c r="DR55" s="200">
        <f>597.043+32.784+264.352+8.307</f>
        <v>902.48599999999999</v>
      </c>
      <c r="DS55" s="101"/>
      <c r="DT55" s="102"/>
      <c r="DU55" s="103">
        <f>504843.084</f>
        <v>504843.08399999997</v>
      </c>
      <c r="DV55" s="200">
        <v>415608.54700000002</v>
      </c>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row>
    <row r="56" spans="1:177" s="74" customFormat="1" ht="12.75" customHeight="1" x14ac:dyDescent="0.2">
      <c r="B56" s="76" t="s">
        <v>160</v>
      </c>
      <c r="C56" s="72"/>
      <c r="D56" s="73"/>
      <c r="E56" s="68">
        <v>129.61600000000001</v>
      </c>
      <c r="F56" s="68"/>
      <c r="G56" s="72"/>
      <c r="H56" s="73"/>
      <c r="I56" s="68">
        <f>75+1.081</f>
        <v>76.081000000000003</v>
      </c>
      <c r="J56" s="68"/>
      <c r="K56" s="72"/>
      <c r="L56" s="73"/>
      <c r="M56" s="68">
        <v>651</v>
      </c>
      <c r="N56" s="68">
        <v>105</v>
      </c>
      <c r="O56" s="72"/>
      <c r="P56" s="73"/>
      <c r="T56" s="72"/>
      <c r="U56" s="73"/>
      <c r="V56" s="68">
        <f>74.8</f>
        <v>74.8</v>
      </c>
      <c r="W56" s="68">
        <v>27.4</v>
      </c>
      <c r="X56" s="72"/>
      <c r="Y56" s="73"/>
      <c r="Z56" s="68">
        <v>5921.5050000000001</v>
      </c>
      <c r="AA56" s="68">
        <v>0</v>
      </c>
      <c r="AB56" s="72"/>
      <c r="AC56" s="73"/>
      <c r="AD56" s="68">
        <f>171.592+1041.014</f>
        <v>1212.606</v>
      </c>
      <c r="AE56" s="68">
        <f>212.973+1026.439</f>
        <v>1239.412</v>
      </c>
      <c r="AF56" s="72"/>
      <c r="AG56" s="73"/>
      <c r="AH56" s="68"/>
      <c r="AI56" s="68"/>
      <c r="AJ56" s="72"/>
      <c r="AK56" s="73"/>
      <c r="AL56" s="68"/>
      <c r="AM56" s="68"/>
      <c r="AN56" s="72"/>
      <c r="AO56" s="73"/>
      <c r="AP56" s="68"/>
      <c r="AQ56" s="68"/>
      <c r="AR56" s="72"/>
      <c r="AS56" s="73"/>
      <c r="AT56" s="68"/>
      <c r="AU56" s="68"/>
      <c r="AV56" s="72"/>
      <c r="AW56" s="73"/>
      <c r="AX56" s="68"/>
      <c r="AY56" s="68"/>
      <c r="AZ56" s="72"/>
      <c r="BA56" s="73"/>
      <c r="BB56" s="68"/>
      <c r="BC56" s="68"/>
      <c r="BD56" s="72"/>
      <c r="BE56" s="73"/>
      <c r="BF56" s="68"/>
      <c r="BG56" s="68"/>
      <c r="BH56" s="72"/>
      <c r="BI56" s="73"/>
      <c r="BJ56" s="68"/>
      <c r="BK56" s="68"/>
      <c r="BL56" s="72"/>
      <c r="BM56" s="73"/>
      <c r="BN56" s="68"/>
      <c r="BO56" s="68"/>
      <c r="BP56" s="72"/>
      <c r="BQ56" s="73"/>
      <c r="BR56" s="68"/>
      <c r="BS56" s="68"/>
      <c r="BT56" s="72"/>
      <c r="BU56" s="73"/>
      <c r="BV56" s="68"/>
      <c r="BW56" s="68"/>
      <c r="BX56" s="72"/>
      <c r="BY56" s="73"/>
      <c r="BZ56" s="68"/>
      <c r="CA56" s="68"/>
      <c r="CB56" s="72"/>
      <c r="CC56" s="73"/>
      <c r="CD56" s="68"/>
      <c r="CE56" s="68"/>
      <c r="CF56" s="72"/>
      <c r="CG56" s="73"/>
      <c r="CH56" s="68"/>
      <c r="CI56" s="68"/>
      <c r="CJ56" s="72"/>
      <c r="CK56" s="73"/>
      <c r="CL56" s="68"/>
      <c r="CM56" s="68"/>
      <c r="CN56" s="72"/>
      <c r="CO56" s="73"/>
      <c r="CP56" s="68"/>
      <c r="CQ56" s="68"/>
      <c r="CR56" s="72"/>
      <c r="CS56" s="73"/>
      <c r="CT56" s="68"/>
      <c r="CU56" s="68"/>
      <c r="CV56" s="72"/>
      <c r="CW56" s="73"/>
      <c r="CX56" s="68"/>
      <c r="CY56" s="68"/>
      <c r="CZ56" s="72"/>
      <c r="DA56" s="73"/>
      <c r="DB56" s="68"/>
      <c r="DC56" s="68"/>
      <c r="DD56" s="72"/>
      <c r="DE56" s="73"/>
      <c r="DF56" s="68"/>
      <c r="DG56" s="68"/>
      <c r="DH56" s="72"/>
      <c r="DI56" s="73"/>
      <c r="DJ56" s="68">
        <v>6390401</v>
      </c>
      <c r="DK56" s="68">
        <v>5359034</v>
      </c>
      <c r="DL56" s="68"/>
      <c r="DM56" s="68">
        <v>4166407</v>
      </c>
      <c r="DN56" s="68">
        <v>1185000</v>
      </c>
      <c r="DO56" s="72"/>
      <c r="DP56" s="73"/>
      <c r="DQ56" s="68">
        <f>30.781+67.172+12.681+150+81+50+40.96+13.301</f>
        <v>445.89499999999998</v>
      </c>
      <c r="DR56" s="68">
        <f>11.65+8.049+15+55.549+12.251</f>
        <v>102.499</v>
      </c>
      <c r="DS56" s="72"/>
      <c r="DT56" s="73"/>
      <c r="DU56" s="68">
        <f>4689.81</f>
        <v>4689.8100000000004</v>
      </c>
      <c r="DV56" s="68">
        <v>7157.3289999999997</v>
      </c>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row>
    <row r="57" spans="1:177" s="74" customFormat="1" ht="12.75" customHeight="1" x14ac:dyDescent="0.2">
      <c r="B57" s="70" t="s">
        <v>162</v>
      </c>
      <c r="C57" s="72"/>
      <c r="D57" s="73"/>
      <c r="E57" s="68"/>
      <c r="F57" s="68"/>
      <c r="G57" s="72"/>
      <c r="H57" s="73"/>
      <c r="I57" s="68">
        <f>250000+6919.672</f>
        <v>256919.67199999999</v>
      </c>
      <c r="J57" s="68"/>
      <c r="K57" s="72"/>
      <c r="L57" s="73"/>
      <c r="M57" s="68"/>
      <c r="N57" s="68"/>
      <c r="O57" s="72"/>
      <c r="P57" s="73"/>
      <c r="T57" s="72"/>
      <c r="U57" s="73"/>
      <c r="V57" s="68">
        <f>271.9</f>
        <v>271.89999999999998</v>
      </c>
      <c r="W57" s="68">
        <v>195.4</v>
      </c>
      <c r="X57" s="72"/>
      <c r="Y57" s="73"/>
      <c r="Z57" s="68"/>
      <c r="AA57" s="68"/>
      <c r="AB57" s="72"/>
      <c r="AC57" s="73"/>
      <c r="AD57" s="68">
        <v>160</v>
      </c>
      <c r="AE57" s="68">
        <v>0</v>
      </c>
      <c r="AF57" s="72"/>
      <c r="AG57" s="73"/>
      <c r="AH57" s="68"/>
      <c r="AI57" s="68"/>
      <c r="AJ57" s="72"/>
      <c r="AK57" s="73"/>
      <c r="AL57" s="68"/>
      <c r="AM57" s="68"/>
      <c r="AN57" s="72"/>
      <c r="AO57" s="73"/>
      <c r="AP57" s="68"/>
      <c r="AQ57" s="68"/>
      <c r="AR57" s="72"/>
      <c r="AS57" s="73"/>
      <c r="AT57" s="68">
        <f>148.824+485.989</f>
        <v>634.81299999999999</v>
      </c>
      <c r="AU57" s="68"/>
      <c r="AV57" s="72"/>
      <c r="AW57" s="73"/>
      <c r="AX57" s="68"/>
      <c r="AY57" s="68"/>
      <c r="AZ57" s="72"/>
      <c r="BA57" s="73"/>
      <c r="BB57" s="68"/>
      <c r="BC57" s="68"/>
      <c r="BD57" s="72"/>
      <c r="BE57" s="73"/>
      <c r="BF57" s="68"/>
      <c r="BG57" s="68"/>
      <c r="BH57" s="72"/>
      <c r="BI57" s="73"/>
      <c r="BJ57" s="68"/>
      <c r="BK57" s="68"/>
      <c r="BL57" s="72"/>
      <c r="BM57" s="73"/>
      <c r="BN57" s="68"/>
      <c r="BO57" s="68"/>
      <c r="BP57" s="72"/>
      <c r="BQ57" s="73"/>
      <c r="BR57" s="68"/>
      <c r="BS57" s="68"/>
      <c r="BT57" s="72"/>
      <c r="BU57" s="73"/>
      <c r="BV57" s="68"/>
      <c r="BW57" s="68"/>
      <c r="BX57" s="72"/>
      <c r="BY57" s="73"/>
      <c r="BZ57" s="68"/>
      <c r="CA57" s="68"/>
      <c r="CB57" s="72"/>
      <c r="CC57" s="73"/>
      <c r="CD57" s="68">
        <v>19993.261999999999</v>
      </c>
      <c r="CE57" s="68">
        <v>14680.504999999999</v>
      </c>
      <c r="CF57" s="72"/>
      <c r="CG57" s="73"/>
      <c r="CH57" s="68"/>
      <c r="CI57" s="68"/>
      <c r="CJ57" s="72"/>
      <c r="CK57" s="73"/>
      <c r="CL57" s="68"/>
      <c r="CM57" s="68"/>
      <c r="CN57" s="72"/>
      <c r="CO57" s="73"/>
      <c r="CP57" s="68"/>
      <c r="CQ57" s="68"/>
      <c r="CR57" s="72"/>
      <c r="CS57" s="73"/>
      <c r="CT57" s="68">
        <f>150+1900</f>
        <v>2050</v>
      </c>
      <c r="CU57" s="68"/>
      <c r="CV57" s="72"/>
      <c r="CW57" s="73"/>
      <c r="CX57" s="68"/>
      <c r="CY57" s="68">
        <f>3303+1031.01+1298.185+49.148+11181.478+2045.046</f>
        <v>18907.866999999998</v>
      </c>
      <c r="CZ57" s="72"/>
      <c r="DA57" s="73"/>
      <c r="DB57" s="68"/>
      <c r="DC57" s="68"/>
      <c r="DD57" s="72"/>
      <c r="DE57" s="73"/>
      <c r="DF57" s="68">
        <v>0</v>
      </c>
      <c r="DG57" s="68">
        <f>241.262+1650</f>
        <v>1891.2619999999999</v>
      </c>
      <c r="DH57" s="72"/>
      <c r="DI57" s="73"/>
      <c r="DJ57" s="68">
        <f>DJ33</f>
        <v>7148772</v>
      </c>
      <c r="DK57" s="68">
        <f>DK33</f>
        <v>5853817</v>
      </c>
      <c r="DL57" s="68"/>
      <c r="DM57" s="68">
        <v>9396527</v>
      </c>
      <c r="DN57" s="68">
        <v>6622170</v>
      </c>
      <c r="DO57" s="72"/>
      <c r="DP57" s="73"/>
      <c r="DQ57" s="68">
        <f>208.193+200.81+310.038+4.316</f>
        <v>723.35700000000008</v>
      </c>
      <c r="DR57" s="68">
        <f>331.087+36.785+195.274</f>
        <v>563.14599999999996</v>
      </c>
      <c r="DS57" s="72"/>
      <c r="DT57" s="73"/>
      <c r="DU57" s="68">
        <v>40000</v>
      </c>
      <c r="DV57" s="68">
        <v>40000</v>
      </c>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row>
    <row r="58" spans="1:177" s="74" customFormat="1" ht="12.75" customHeight="1" x14ac:dyDescent="0.2">
      <c r="B58" s="76" t="s">
        <v>163</v>
      </c>
      <c r="C58" s="72"/>
      <c r="D58" s="73"/>
      <c r="E58" s="104"/>
      <c r="F58" s="104"/>
      <c r="G58" s="72"/>
      <c r="H58" s="73"/>
      <c r="I58" s="104"/>
      <c r="J58" s="104"/>
      <c r="K58" s="72"/>
      <c r="L58" s="73"/>
      <c r="M58" s="104"/>
      <c r="N58" s="104"/>
      <c r="O58" s="72"/>
      <c r="P58" s="73"/>
      <c r="Q58" s="104"/>
      <c r="R58" s="104"/>
      <c r="S58" s="104"/>
      <c r="T58" s="72"/>
      <c r="U58" s="73"/>
      <c r="V58" s="104"/>
      <c r="W58" s="104"/>
      <c r="X58" s="72"/>
      <c r="Y58" s="73"/>
      <c r="Z58" s="104"/>
      <c r="AA58" s="104"/>
      <c r="AB58" s="72"/>
      <c r="AC58" s="73"/>
      <c r="AD58" s="104"/>
      <c r="AE58" s="104"/>
      <c r="AF58" s="72"/>
      <c r="AG58" s="73"/>
      <c r="AH58" s="104"/>
      <c r="AI58" s="104"/>
      <c r="AJ58" s="72"/>
      <c r="AK58" s="73"/>
      <c r="AL58" s="104"/>
      <c r="AM58" s="104"/>
      <c r="AN58" s="72"/>
      <c r="AO58" s="73"/>
      <c r="AP58" s="104"/>
      <c r="AQ58" s="104"/>
      <c r="AR58" s="72"/>
      <c r="AS58" s="73"/>
      <c r="AT58" s="104"/>
      <c r="AU58" s="104"/>
      <c r="AV58" s="72"/>
      <c r="AW58" s="73"/>
      <c r="AX58" s="104"/>
      <c r="AY58" s="104"/>
      <c r="AZ58" s="72"/>
      <c r="BA58" s="73"/>
      <c r="BB58" s="104"/>
      <c r="BC58" s="104"/>
      <c r="BD58" s="72"/>
      <c r="BE58" s="73"/>
      <c r="BF58" s="104"/>
      <c r="BG58" s="104"/>
      <c r="BH58" s="72"/>
      <c r="BI58" s="73"/>
      <c r="BJ58" s="104"/>
      <c r="BK58" s="104"/>
      <c r="BL58" s="72"/>
      <c r="BM58" s="73"/>
      <c r="BN58" s="104"/>
      <c r="BO58" s="104"/>
      <c r="BP58" s="72"/>
      <c r="BQ58" s="73"/>
      <c r="BR58" s="104"/>
      <c r="BS58" s="104"/>
      <c r="BT58" s="72"/>
      <c r="BU58" s="73"/>
      <c r="BV58" s="104"/>
      <c r="BW58" s="104"/>
      <c r="BX58" s="72"/>
      <c r="BY58" s="73"/>
      <c r="BZ58" s="104"/>
      <c r="CA58" s="104"/>
      <c r="CB58" s="72"/>
      <c r="CC58" s="73"/>
      <c r="CD58" s="104"/>
      <c r="CE58" s="104"/>
      <c r="CF58" s="72"/>
      <c r="CG58" s="73"/>
      <c r="CH58" s="104"/>
      <c r="CI58" s="104"/>
      <c r="CJ58" s="72"/>
      <c r="CK58" s="73"/>
      <c r="CL58" s="104"/>
      <c r="CM58" s="104"/>
      <c r="CN58" s="72"/>
      <c r="CO58" s="73"/>
      <c r="CP58" s="104"/>
      <c r="CQ58" s="104"/>
      <c r="CR58" s="72"/>
      <c r="CS58" s="73"/>
      <c r="CT58" s="104"/>
      <c r="CU58" s="104"/>
      <c r="CV58" s="72"/>
      <c r="CW58" s="73"/>
      <c r="CX58" s="104"/>
      <c r="CY58" s="104">
        <f>3500+1369+250+1221</f>
        <v>6340</v>
      </c>
      <c r="CZ58" s="72"/>
      <c r="DA58" s="73"/>
      <c r="DB58" s="104"/>
      <c r="DC58" s="104"/>
      <c r="DD58" s="72"/>
      <c r="DE58" s="73"/>
      <c r="DF58" s="104">
        <v>7300.18</v>
      </c>
      <c r="DG58" s="104">
        <v>6684.7849999999999</v>
      </c>
      <c r="DH58" s="72"/>
      <c r="DI58" s="73"/>
      <c r="DJ58" s="104"/>
      <c r="DK58" s="104"/>
      <c r="DL58" s="104"/>
      <c r="DM58" s="104"/>
      <c r="DN58" s="104"/>
      <c r="DO58" s="72"/>
      <c r="DP58" s="73"/>
      <c r="DQ58" s="104"/>
      <c r="DR58" s="104"/>
      <c r="DS58" s="72"/>
      <c r="DT58" s="73"/>
      <c r="DU58" s="104"/>
      <c r="DV58" s="104"/>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row>
    <row r="59" spans="1:177" ht="12.75" customHeight="1" x14ac:dyDescent="0.2">
      <c r="A59" s="74"/>
      <c r="B59" s="5"/>
      <c r="C59" s="72"/>
      <c r="D59" s="73"/>
      <c r="E59" s="111"/>
      <c r="F59" s="111"/>
      <c r="G59" s="72"/>
      <c r="H59" s="73"/>
      <c r="I59" s="111"/>
      <c r="J59" s="111"/>
      <c r="K59" s="72"/>
      <c r="L59" s="73"/>
      <c r="M59" s="111"/>
      <c r="N59" s="111"/>
      <c r="O59" s="72"/>
      <c r="P59" s="73"/>
      <c r="Q59" s="111"/>
      <c r="R59" s="111"/>
      <c r="S59" s="111"/>
      <c r="T59" s="72"/>
      <c r="U59" s="73"/>
      <c r="V59" s="111"/>
      <c r="W59" s="111"/>
      <c r="X59" s="72"/>
      <c r="Y59" s="73"/>
      <c r="Z59" s="111"/>
      <c r="AA59" s="111"/>
      <c r="AB59" s="72"/>
      <c r="AC59" s="73"/>
      <c r="AD59" s="111"/>
      <c r="AE59" s="111"/>
      <c r="AF59" s="72"/>
      <c r="AG59" s="73"/>
      <c r="AH59" s="111"/>
      <c r="AI59" s="111"/>
      <c r="AJ59" s="72"/>
      <c r="AK59" s="73"/>
      <c r="AL59" s="111"/>
      <c r="AM59" s="111"/>
      <c r="AN59" s="72"/>
      <c r="AO59" s="73"/>
      <c r="AP59" s="111"/>
      <c r="AQ59" s="111"/>
      <c r="AR59" s="72"/>
      <c r="AS59" s="73"/>
      <c r="AT59" s="111"/>
      <c r="AU59" s="111"/>
      <c r="AV59" s="72"/>
      <c r="AW59" s="73"/>
      <c r="AX59" s="111"/>
      <c r="AY59" s="111"/>
      <c r="AZ59" s="72"/>
      <c r="BA59" s="73"/>
      <c r="BB59" s="111"/>
      <c r="BC59" s="111"/>
      <c r="BD59" s="72"/>
      <c r="BE59" s="73"/>
      <c r="BF59" s="111"/>
      <c r="BG59" s="111"/>
      <c r="BH59" s="72"/>
      <c r="BI59" s="73"/>
      <c r="BJ59" s="111"/>
      <c r="BK59" s="111"/>
      <c r="BL59" s="72"/>
      <c r="BM59" s="73"/>
      <c r="BN59" s="111"/>
      <c r="BO59" s="111"/>
      <c r="BP59" s="72"/>
      <c r="BQ59" s="73"/>
      <c r="BR59" s="111"/>
      <c r="BS59" s="111"/>
      <c r="BT59" s="72"/>
      <c r="BU59" s="73"/>
      <c r="BV59" s="111"/>
      <c r="BW59" s="111"/>
      <c r="BX59" s="72"/>
      <c r="BY59" s="73"/>
      <c r="BZ59" s="111"/>
      <c r="CA59" s="111"/>
      <c r="CB59" s="72"/>
      <c r="CC59" s="73"/>
      <c r="CD59" s="111"/>
      <c r="CE59" s="111"/>
      <c r="CF59" s="72"/>
      <c r="CG59" s="73"/>
      <c r="CH59" s="111"/>
      <c r="CI59" s="111"/>
      <c r="CJ59" s="72"/>
      <c r="CK59" s="73"/>
      <c r="CL59" s="111"/>
      <c r="CM59" s="111"/>
      <c r="CN59" s="72"/>
      <c r="CO59" s="73"/>
      <c r="CP59" s="111"/>
      <c r="CQ59" s="111"/>
      <c r="CR59" s="72"/>
      <c r="CS59" s="73"/>
      <c r="CT59" s="111"/>
      <c r="CU59" s="111"/>
      <c r="CV59" s="72"/>
      <c r="CW59" s="73"/>
      <c r="CX59" s="111"/>
      <c r="CY59" s="111"/>
      <c r="CZ59" s="72"/>
      <c r="DA59" s="73"/>
      <c r="DB59" s="111"/>
      <c r="DC59" s="111"/>
      <c r="DD59" s="72"/>
      <c r="DE59" s="73"/>
      <c r="DF59" s="111"/>
      <c r="DG59" s="111"/>
      <c r="DH59" s="72"/>
      <c r="DI59" s="73"/>
      <c r="DJ59" s="111"/>
      <c r="DK59" s="111"/>
      <c r="DL59" s="111"/>
      <c r="DM59" s="111"/>
      <c r="DN59" s="111"/>
      <c r="DO59" s="72"/>
      <c r="DP59" s="73"/>
      <c r="DQ59" s="111"/>
      <c r="DR59" s="111"/>
      <c r="DS59" s="72"/>
      <c r="DT59" s="73"/>
      <c r="DU59" s="111"/>
      <c r="DV59" s="111"/>
    </row>
    <row r="60" spans="1:177" ht="12.75" customHeight="1" x14ac:dyDescent="0.2">
      <c r="A60" s="115" t="s">
        <v>164</v>
      </c>
      <c r="B60" s="116"/>
      <c r="E60" s="111"/>
      <c r="F60" s="111"/>
      <c r="I60" s="111"/>
      <c r="J60" s="111"/>
      <c r="M60" s="111"/>
      <c r="N60" s="111"/>
      <c r="Q60" s="111"/>
      <c r="R60" s="111"/>
      <c r="S60" s="111"/>
      <c r="V60" s="111"/>
      <c r="W60" s="111"/>
      <c r="Z60" s="111"/>
      <c r="AA60" s="111"/>
      <c r="AD60" s="111"/>
      <c r="AE60" s="111"/>
      <c r="AH60" s="111"/>
      <c r="AI60" s="111"/>
      <c r="AL60" s="111"/>
      <c r="AM60" s="111"/>
      <c r="AP60" s="111"/>
      <c r="AQ60" s="111"/>
      <c r="AT60" s="111"/>
      <c r="AU60" s="111"/>
      <c r="AX60" s="111"/>
      <c r="AY60" s="111"/>
      <c r="BB60" s="111"/>
      <c r="BC60" s="111"/>
      <c r="BF60" s="111"/>
      <c r="BG60" s="111"/>
      <c r="BJ60" s="111"/>
      <c r="BK60" s="111"/>
      <c r="BN60" s="111"/>
      <c r="BO60" s="111"/>
      <c r="BR60" s="111"/>
      <c r="BS60" s="111"/>
      <c r="BV60" s="111"/>
      <c r="BW60" s="111"/>
      <c r="BZ60" s="111"/>
      <c r="CA60" s="111"/>
      <c r="CD60" s="111"/>
      <c r="CE60" s="111"/>
      <c r="CH60" s="111"/>
      <c r="CI60" s="111"/>
      <c r="CL60" s="111"/>
      <c r="CM60" s="111"/>
      <c r="CP60" s="111"/>
      <c r="CQ60" s="111"/>
      <c r="CT60" s="111"/>
      <c r="CU60" s="111"/>
      <c r="CX60" s="111"/>
      <c r="CY60" s="111"/>
      <c r="DB60" s="111"/>
      <c r="DC60" s="111"/>
      <c r="DF60" s="111"/>
      <c r="DG60" s="111"/>
      <c r="DJ60" s="111"/>
      <c r="DK60" s="111"/>
      <c r="DL60" s="111"/>
      <c r="DM60" s="111"/>
      <c r="DN60" s="111"/>
      <c r="DQ60" s="111"/>
      <c r="DR60" s="111"/>
      <c r="DU60" s="111"/>
      <c r="DV60" s="111"/>
    </row>
    <row r="61" spans="1:177" ht="12.75" customHeight="1" x14ac:dyDescent="0.2">
      <c r="A61" s="75"/>
      <c r="B61" s="116"/>
      <c r="E61" s="111"/>
      <c r="F61" s="111"/>
      <c r="I61" s="111"/>
      <c r="J61" s="111"/>
      <c r="M61" s="111"/>
      <c r="N61" s="111"/>
      <c r="Q61" s="111"/>
      <c r="R61" s="111"/>
      <c r="S61" s="111"/>
      <c r="V61" s="111"/>
      <c r="W61" s="111"/>
      <c r="Z61" s="111"/>
      <c r="AA61" s="111"/>
      <c r="AD61" s="111"/>
      <c r="AE61" s="111"/>
      <c r="AH61" s="111"/>
      <c r="AI61" s="111"/>
      <c r="AL61" s="111"/>
      <c r="AM61" s="111"/>
      <c r="AP61" s="111"/>
      <c r="AQ61" s="111"/>
      <c r="AT61" s="111"/>
      <c r="AU61" s="111"/>
      <c r="AX61" s="111"/>
      <c r="AY61" s="111"/>
      <c r="BB61" s="111"/>
      <c r="BC61" s="111"/>
      <c r="BF61" s="111"/>
      <c r="BG61" s="111"/>
      <c r="BJ61" s="111"/>
      <c r="BK61" s="111"/>
      <c r="BN61" s="111"/>
      <c r="BO61" s="111"/>
      <c r="BR61" s="111"/>
      <c r="BS61" s="111"/>
      <c r="BV61" s="111"/>
      <c r="BW61" s="111"/>
      <c r="BZ61" s="111"/>
      <c r="CA61" s="111"/>
      <c r="CD61" s="111"/>
      <c r="CE61" s="111"/>
      <c r="CH61" s="111"/>
      <c r="CI61" s="111"/>
      <c r="CL61" s="111"/>
      <c r="CM61" s="111"/>
      <c r="CP61" s="111"/>
      <c r="CQ61" s="111"/>
      <c r="CT61" s="111"/>
      <c r="CU61" s="111"/>
      <c r="CX61" s="111"/>
      <c r="CY61" s="111"/>
      <c r="DB61" s="111"/>
      <c r="DC61" s="111"/>
      <c r="DF61" s="111"/>
      <c r="DG61" s="111"/>
      <c r="DJ61" s="111"/>
      <c r="DK61" s="111"/>
      <c r="DL61" s="111"/>
      <c r="DM61" s="111"/>
      <c r="DN61" s="111"/>
      <c r="DQ61" s="111"/>
      <c r="DR61" s="111"/>
      <c r="DU61" s="111"/>
      <c r="DV61" s="111"/>
    </row>
    <row r="62" spans="1:177" ht="12.75" customHeight="1" x14ac:dyDescent="0.2">
      <c r="B62" s="116"/>
      <c r="E62" s="111"/>
      <c r="F62" s="111"/>
      <c r="I62" s="111"/>
      <c r="J62" s="111"/>
      <c r="M62" s="111"/>
      <c r="N62" s="111"/>
      <c r="Q62" s="111"/>
      <c r="R62" s="111"/>
      <c r="S62" s="111"/>
      <c r="V62" s="111"/>
      <c r="W62" s="111"/>
      <c r="Z62" s="111"/>
      <c r="AA62" s="111"/>
      <c r="AD62" s="111"/>
      <c r="AE62" s="111"/>
      <c r="AH62" s="111"/>
      <c r="AI62" s="111"/>
      <c r="AL62" s="111"/>
      <c r="AM62" s="111"/>
      <c r="AP62" s="111"/>
      <c r="AQ62" s="111"/>
      <c r="AT62" s="111"/>
      <c r="AU62" s="111"/>
      <c r="AX62" s="111"/>
      <c r="AY62" s="111"/>
      <c r="BB62" s="111"/>
      <c r="BC62" s="111"/>
      <c r="BF62" s="111"/>
      <c r="BG62" s="111"/>
      <c r="BJ62" s="111"/>
      <c r="BK62" s="111"/>
      <c r="BN62" s="111"/>
      <c r="BO62" s="111"/>
      <c r="BR62" s="111"/>
      <c r="BS62" s="111"/>
      <c r="BV62" s="111"/>
      <c r="BW62" s="111"/>
      <c r="BZ62" s="111"/>
      <c r="CA62" s="111"/>
      <c r="CD62" s="111"/>
      <c r="CE62" s="111"/>
      <c r="CH62" s="111"/>
      <c r="CI62" s="111"/>
      <c r="CL62" s="111"/>
      <c r="CM62" s="111"/>
      <c r="CP62" s="111"/>
      <c r="CQ62" s="111"/>
      <c r="CT62" s="111"/>
      <c r="CU62" s="111"/>
      <c r="CX62" s="111"/>
      <c r="CY62" s="111"/>
      <c r="DB62" s="111"/>
      <c r="DC62" s="111"/>
      <c r="DF62" s="111"/>
      <c r="DG62" s="111"/>
      <c r="DJ62" s="111"/>
      <c r="DK62" s="111"/>
      <c r="DL62" s="111"/>
      <c r="DM62" s="111"/>
      <c r="DN62" s="111"/>
      <c r="DQ62" s="111"/>
      <c r="DR62" s="111"/>
      <c r="DU62" s="111"/>
      <c r="DV62" s="111"/>
    </row>
    <row r="63" spans="1:177" ht="12.75" customHeight="1" x14ac:dyDescent="0.2">
      <c r="B63" s="13" t="s">
        <v>165</v>
      </c>
      <c r="AX63" s="6">
        <v>1</v>
      </c>
      <c r="AY63" s="6">
        <v>1</v>
      </c>
    </row>
    <row r="64" spans="1:177" ht="12.75" customHeight="1" x14ac:dyDescent="0.2">
      <c r="A64" s="4"/>
      <c r="B64" s="116" t="s">
        <v>166</v>
      </c>
      <c r="E64" s="111"/>
      <c r="F64" s="111"/>
      <c r="I64" s="111"/>
      <c r="J64" s="111"/>
      <c r="M64" s="111"/>
      <c r="N64" s="111"/>
      <c r="Q64" s="111"/>
      <c r="R64" s="111"/>
      <c r="S64" s="111"/>
      <c r="V64" s="111">
        <v>1</v>
      </c>
      <c r="W64" s="111">
        <v>0</v>
      </c>
      <c r="Z64" s="111"/>
      <c r="AA64" s="111"/>
      <c r="AD64" s="111">
        <v>1</v>
      </c>
      <c r="AE64" s="111">
        <v>4</v>
      </c>
      <c r="AH64" s="111">
        <v>1</v>
      </c>
      <c r="AI64" s="111">
        <v>1</v>
      </c>
      <c r="AL64" s="111">
        <v>11</v>
      </c>
      <c r="AM64" s="111">
        <v>0</v>
      </c>
      <c r="AP64" s="111">
        <v>18</v>
      </c>
      <c r="AQ64" s="111">
        <v>15</v>
      </c>
      <c r="AT64" s="111"/>
      <c r="AU64" s="111"/>
      <c r="AX64" s="111">
        <v>5</v>
      </c>
      <c r="AY64" s="111">
        <v>5</v>
      </c>
      <c r="BB64" s="111"/>
      <c r="BC64" s="111"/>
      <c r="BF64" s="111"/>
      <c r="BG64" s="111"/>
      <c r="BJ64" s="111"/>
      <c r="BK64" s="111"/>
      <c r="BN64" s="111">
        <v>4</v>
      </c>
      <c r="BO64" s="111">
        <v>13</v>
      </c>
      <c r="BR64" s="111"/>
      <c r="BS64" s="111"/>
      <c r="BV64" s="111"/>
      <c r="BW64" s="111"/>
      <c r="BZ64" s="111">
        <v>9</v>
      </c>
      <c r="CA64" s="111">
        <v>0</v>
      </c>
      <c r="CD64" s="111"/>
      <c r="CE64" s="111"/>
      <c r="CH64" s="111"/>
      <c r="CI64" s="111"/>
      <c r="CL64" s="111">
        <v>2</v>
      </c>
      <c r="CM64" s="111">
        <v>2</v>
      </c>
      <c r="CP64" s="111"/>
      <c r="CQ64" s="111"/>
      <c r="CT64" s="111">
        <v>4</v>
      </c>
      <c r="CU64" s="111">
        <v>5</v>
      </c>
      <c r="CX64" s="111"/>
      <c r="CY64" s="111">
        <v>1</v>
      </c>
      <c r="DB64" s="111"/>
      <c r="DC64" s="111"/>
      <c r="DF64" s="111"/>
      <c r="DG64" s="111"/>
      <c r="DJ64" s="111"/>
      <c r="DK64" s="111"/>
      <c r="DL64" s="111"/>
      <c r="DM64" s="111"/>
      <c r="DN64" s="111"/>
      <c r="DQ64" s="111"/>
      <c r="DR64" s="111"/>
      <c r="DU64" s="111">
        <v>1</v>
      </c>
      <c r="DV64" s="111">
        <v>4</v>
      </c>
    </row>
    <row r="65" spans="1:177" ht="12.75" customHeight="1" x14ac:dyDescent="0.2">
      <c r="B65" s="116" t="s">
        <v>169</v>
      </c>
      <c r="E65" s="111"/>
      <c r="F65" s="111"/>
      <c r="I65" s="111"/>
      <c r="J65" s="111"/>
      <c r="M65" s="111"/>
      <c r="N65" s="111"/>
      <c r="Q65" s="111"/>
      <c r="R65" s="111"/>
      <c r="S65" s="111"/>
      <c r="V65" s="111">
        <v>3</v>
      </c>
      <c r="W65" s="111">
        <v>3</v>
      </c>
      <c r="Z65" s="111"/>
      <c r="AA65" s="111"/>
      <c r="AD65" s="111">
        <v>1</v>
      </c>
      <c r="AE65" s="111">
        <v>2</v>
      </c>
      <c r="AH65" s="111">
        <v>0</v>
      </c>
      <c r="AI65" s="111">
        <v>1</v>
      </c>
      <c r="AL65" s="111">
        <v>13</v>
      </c>
      <c r="AM65" s="111">
        <v>0</v>
      </c>
      <c r="AP65" s="111">
        <v>18</v>
      </c>
      <c r="AQ65" s="111">
        <v>19</v>
      </c>
      <c r="AT65" s="111"/>
      <c r="AU65" s="111"/>
      <c r="AX65" s="111"/>
      <c r="AY65" s="111"/>
      <c r="BB65" s="111"/>
      <c r="BC65" s="111"/>
      <c r="BF65" s="111"/>
      <c r="BG65" s="111"/>
      <c r="BJ65" s="111"/>
      <c r="BK65" s="111"/>
      <c r="BN65" s="111">
        <v>4</v>
      </c>
      <c r="BO65" s="111">
        <v>22</v>
      </c>
      <c r="BR65" s="111"/>
      <c r="BS65" s="111"/>
      <c r="BV65" s="111"/>
      <c r="BW65" s="111"/>
      <c r="BZ65" s="111">
        <v>0</v>
      </c>
      <c r="CA65" s="111">
        <v>13</v>
      </c>
      <c r="CD65" s="111"/>
      <c r="CE65" s="111"/>
      <c r="CH65" s="111"/>
      <c r="CI65" s="111"/>
      <c r="CL65" s="111">
        <v>0</v>
      </c>
      <c r="CM65" s="111">
        <v>0</v>
      </c>
      <c r="CP65" s="111"/>
      <c r="CQ65" s="111"/>
      <c r="CT65" s="111">
        <v>5</v>
      </c>
      <c r="CU65" s="111">
        <v>3</v>
      </c>
      <c r="CX65" s="111"/>
      <c r="CY65" s="111">
        <v>0</v>
      </c>
      <c r="DB65" s="111"/>
      <c r="DC65" s="111"/>
      <c r="DF65" s="111"/>
      <c r="DG65" s="111"/>
      <c r="DJ65" s="111"/>
      <c r="DK65" s="111"/>
      <c r="DL65" s="111"/>
      <c r="DM65" s="111"/>
      <c r="DN65" s="111"/>
      <c r="DQ65" s="111"/>
      <c r="DR65" s="111"/>
      <c r="DU65" s="111">
        <v>3</v>
      </c>
      <c r="DV65" s="111">
        <v>2</v>
      </c>
    </row>
    <row r="66" spans="1:177" ht="12.75" customHeight="1" x14ac:dyDescent="0.2">
      <c r="A66" s="74"/>
      <c r="B66" s="116"/>
      <c r="C66" s="72"/>
      <c r="D66" s="73"/>
      <c r="E66" s="120"/>
      <c r="F66" s="120"/>
      <c r="G66" s="72"/>
      <c r="H66" s="73"/>
      <c r="I66" s="120"/>
      <c r="J66" s="120"/>
      <c r="K66" s="72"/>
      <c r="L66" s="73"/>
      <c r="M66" s="120"/>
      <c r="N66" s="120"/>
      <c r="O66" s="72"/>
      <c r="P66" s="73"/>
      <c r="Q66" s="120"/>
      <c r="R66" s="120"/>
      <c r="S66" s="120"/>
      <c r="T66" s="72"/>
      <c r="U66" s="73"/>
      <c r="V66" s="120"/>
      <c r="W66" s="120"/>
      <c r="X66" s="72"/>
      <c r="Y66" s="73"/>
      <c r="Z66" s="120"/>
      <c r="AA66" s="120"/>
      <c r="AB66" s="72"/>
      <c r="AC66" s="73"/>
      <c r="AD66" s="120"/>
      <c r="AE66" s="120"/>
      <c r="AF66" s="72"/>
      <c r="AG66" s="73"/>
      <c r="AH66" s="120"/>
      <c r="AI66" s="120"/>
      <c r="AJ66" s="72"/>
      <c r="AK66" s="73"/>
      <c r="AL66" s="120"/>
      <c r="AM66" s="120"/>
      <c r="AN66" s="72"/>
      <c r="AO66" s="73"/>
      <c r="AP66" s="120"/>
      <c r="AQ66" s="120"/>
      <c r="AR66" s="72"/>
      <c r="AS66" s="73"/>
      <c r="AT66" s="120"/>
      <c r="AU66" s="120"/>
      <c r="AV66" s="72"/>
      <c r="AW66" s="73"/>
      <c r="AX66" s="120"/>
      <c r="AY66" s="120"/>
      <c r="AZ66" s="72"/>
      <c r="BA66" s="73"/>
      <c r="BB66" s="120"/>
      <c r="BC66" s="120"/>
      <c r="BD66" s="72"/>
      <c r="BE66" s="73"/>
      <c r="BF66" s="120"/>
      <c r="BG66" s="120"/>
      <c r="BH66" s="72"/>
      <c r="BI66" s="73"/>
      <c r="BJ66" s="120"/>
      <c r="BK66" s="120"/>
      <c r="BL66" s="72"/>
      <c r="BM66" s="73"/>
      <c r="BN66" s="120"/>
      <c r="BO66" s="120"/>
      <c r="BP66" s="72"/>
      <c r="BQ66" s="73"/>
      <c r="BR66" s="120"/>
      <c r="BS66" s="120"/>
      <c r="BT66" s="72"/>
      <c r="BU66" s="73"/>
      <c r="BV66" s="120"/>
      <c r="BW66" s="120"/>
      <c r="BX66" s="72"/>
      <c r="BY66" s="73"/>
      <c r="BZ66" s="120"/>
      <c r="CA66" s="120"/>
      <c r="CB66" s="72"/>
      <c r="CC66" s="73"/>
      <c r="CD66" s="120"/>
      <c r="CE66" s="120"/>
      <c r="CF66" s="72"/>
      <c r="CG66" s="73"/>
      <c r="CH66" s="120"/>
      <c r="CI66" s="120"/>
      <c r="CJ66" s="72"/>
      <c r="CK66" s="73"/>
      <c r="CL66" s="120"/>
      <c r="CM66" s="120"/>
      <c r="CN66" s="72"/>
      <c r="CO66" s="73"/>
      <c r="CP66" s="120"/>
      <c r="CQ66" s="120"/>
      <c r="CR66" s="72"/>
      <c r="CS66" s="73"/>
      <c r="CT66" s="120"/>
      <c r="CU66" s="120"/>
      <c r="CV66" s="72"/>
      <c r="CW66" s="73"/>
      <c r="CX66" s="120"/>
      <c r="CY66" s="120"/>
      <c r="CZ66" s="72"/>
      <c r="DA66" s="73"/>
      <c r="DB66" s="120"/>
      <c r="DC66" s="120"/>
      <c r="DD66" s="72"/>
      <c r="DE66" s="73"/>
      <c r="DF66" s="120"/>
      <c r="DG66" s="120"/>
      <c r="DH66" s="72"/>
      <c r="DI66" s="73"/>
      <c r="DJ66" s="120"/>
      <c r="DK66" s="120"/>
      <c r="DL66" s="120"/>
      <c r="DM66" s="120"/>
      <c r="DN66" s="120"/>
      <c r="DO66" s="72"/>
      <c r="DP66" s="73"/>
      <c r="DQ66" s="120"/>
      <c r="DR66" s="120"/>
      <c r="DS66" s="72"/>
      <c r="DT66" s="73"/>
      <c r="DU66" s="120"/>
      <c r="DV66" s="120"/>
    </row>
    <row r="67" spans="1:177" ht="12.75" customHeight="1" x14ac:dyDescent="0.2">
      <c r="A67" s="121" t="s">
        <v>170</v>
      </c>
      <c r="C67" s="72"/>
      <c r="D67" s="73"/>
      <c r="E67" s="120"/>
      <c r="F67" s="120"/>
      <c r="G67" s="72"/>
      <c r="H67" s="73"/>
      <c r="I67" s="120"/>
      <c r="J67" s="120"/>
      <c r="K67" s="72"/>
      <c r="L67" s="73"/>
      <c r="M67" s="120"/>
      <c r="N67" s="120"/>
      <c r="O67" s="72"/>
      <c r="P67" s="73"/>
      <c r="Q67" s="120"/>
      <c r="R67" s="120"/>
      <c r="S67" s="120"/>
      <c r="T67" s="72"/>
      <c r="U67" s="73"/>
      <c r="V67" s="120"/>
      <c r="W67" s="120"/>
      <c r="X67" s="72"/>
      <c r="Y67" s="73"/>
      <c r="Z67" s="120"/>
      <c r="AA67" s="120"/>
      <c r="AB67" s="72"/>
      <c r="AC67" s="73"/>
      <c r="AD67" s="120"/>
      <c r="AE67" s="120"/>
      <c r="AF67" s="72"/>
      <c r="AG67" s="73"/>
      <c r="AH67" s="120"/>
      <c r="AI67" s="120"/>
      <c r="AJ67" s="72"/>
      <c r="AK67" s="73"/>
      <c r="AL67" s="120"/>
      <c r="AM67" s="120"/>
      <c r="AN67" s="72"/>
      <c r="AO67" s="73"/>
      <c r="AP67" s="120"/>
      <c r="AQ67" s="120"/>
      <c r="AR67" s="72"/>
      <c r="AS67" s="73"/>
      <c r="AT67" s="120"/>
      <c r="AU67" s="120"/>
      <c r="AV67" s="72"/>
      <c r="AW67" s="73"/>
      <c r="AX67" s="120"/>
      <c r="AY67" s="120"/>
      <c r="AZ67" s="72"/>
      <c r="BA67" s="73"/>
      <c r="BB67" s="120"/>
      <c r="BC67" s="120"/>
      <c r="BD67" s="72"/>
      <c r="BE67" s="73"/>
      <c r="BF67" s="120"/>
      <c r="BG67" s="120"/>
      <c r="BH67" s="72"/>
      <c r="BI67" s="73"/>
      <c r="BJ67" s="120"/>
      <c r="BK67" s="120"/>
      <c r="BL67" s="72"/>
      <c r="BM67" s="73"/>
      <c r="BN67" s="120"/>
      <c r="BO67" s="120"/>
      <c r="BP67" s="72"/>
      <c r="BQ67" s="73"/>
      <c r="BR67" s="120"/>
      <c r="BS67" s="120"/>
      <c r="BT67" s="72"/>
      <c r="BU67" s="73"/>
      <c r="BV67" s="120"/>
      <c r="BW67" s="120"/>
      <c r="BX67" s="72"/>
      <c r="BY67" s="73"/>
      <c r="BZ67" s="120"/>
      <c r="CA67" s="120"/>
      <c r="CB67" s="72"/>
      <c r="CC67" s="73"/>
      <c r="CD67" s="120"/>
      <c r="CE67" s="120"/>
      <c r="CF67" s="72"/>
      <c r="CG67" s="73"/>
      <c r="CH67" s="120"/>
      <c r="CI67" s="120"/>
      <c r="CJ67" s="72"/>
      <c r="CK67" s="73"/>
      <c r="CL67" s="120"/>
      <c r="CM67" s="120"/>
      <c r="CN67" s="72"/>
      <c r="CO67" s="73"/>
      <c r="CP67" s="120"/>
      <c r="CQ67" s="120"/>
      <c r="CR67" s="72"/>
      <c r="CS67" s="73"/>
      <c r="CT67" s="120"/>
      <c r="CU67" s="120"/>
      <c r="CV67" s="72"/>
      <c r="CW67" s="73"/>
      <c r="CX67" s="120"/>
      <c r="CY67" s="120"/>
      <c r="CZ67" s="72"/>
      <c r="DA67" s="73"/>
      <c r="DB67" s="120"/>
      <c r="DC67" s="120"/>
      <c r="DD67" s="72"/>
      <c r="DE67" s="73"/>
      <c r="DF67" s="120"/>
      <c r="DG67" s="120"/>
      <c r="DH67" s="72"/>
      <c r="DI67" s="73"/>
      <c r="DJ67" s="120"/>
      <c r="DK67" s="120"/>
      <c r="DL67" s="120"/>
      <c r="DM67" s="120"/>
      <c r="DN67" s="120"/>
      <c r="DO67" s="72"/>
      <c r="DP67" s="73"/>
      <c r="DQ67" s="120"/>
      <c r="DR67" s="120"/>
      <c r="DS67" s="72"/>
      <c r="DT67" s="73"/>
      <c r="DU67" s="120"/>
      <c r="DV67" s="120"/>
    </row>
    <row r="68" spans="1:177" s="74" customFormat="1" ht="12.75" customHeight="1" x14ac:dyDescent="0.2">
      <c r="A68" s="122"/>
      <c r="B68" s="122" t="s">
        <v>171</v>
      </c>
      <c r="C68" s="123"/>
      <c r="D68" s="124"/>
      <c r="E68" s="35"/>
      <c r="F68" s="35"/>
      <c r="G68" s="123"/>
      <c r="H68" s="124"/>
      <c r="I68" s="35" t="s">
        <v>402</v>
      </c>
      <c r="J68" s="35"/>
      <c r="K68" s="123"/>
      <c r="L68" s="124"/>
      <c r="M68" s="35" t="s">
        <v>403</v>
      </c>
      <c r="N68" s="35"/>
      <c r="O68" s="123"/>
      <c r="P68" s="124"/>
      <c r="Q68" s="35"/>
      <c r="R68" s="35" t="s">
        <v>404</v>
      </c>
      <c r="S68" s="35"/>
      <c r="T68" s="123"/>
      <c r="U68" s="124"/>
      <c r="V68" s="35" t="s">
        <v>405</v>
      </c>
      <c r="W68" s="35"/>
      <c r="X68" s="123"/>
      <c r="Y68" s="124"/>
      <c r="Z68" s="35" t="s">
        <v>200</v>
      </c>
      <c r="AA68" s="35"/>
      <c r="AB68" s="123"/>
      <c r="AC68" s="124"/>
      <c r="AD68" s="35" t="s">
        <v>406</v>
      </c>
      <c r="AE68" s="35"/>
      <c r="AF68" s="123"/>
      <c r="AG68" s="124"/>
      <c r="AH68" s="35" t="s">
        <v>407</v>
      </c>
      <c r="AI68" s="35"/>
      <c r="AJ68" s="123"/>
      <c r="AK68" s="124"/>
      <c r="AL68" s="35" t="s">
        <v>408</v>
      </c>
      <c r="AM68" s="35"/>
      <c r="AN68" s="123"/>
      <c r="AO68" s="124"/>
      <c r="AP68" s="35" t="s">
        <v>409</v>
      </c>
      <c r="AQ68" s="35"/>
      <c r="AR68" s="123"/>
      <c r="AS68" s="124"/>
      <c r="AT68" s="35" t="s">
        <v>173</v>
      </c>
      <c r="AU68" s="35"/>
      <c r="AV68" s="123"/>
      <c r="AW68" s="124"/>
      <c r="AX68" s="35" t="s">
        <v>410</v>
      </c>
      <c r="AY68" s="35"/>
      <c r="AZ68" s="123"/>
      <c r="BA68" s="124"/>
      <c r="BB68" s="35" t="s">
        <v>411</v>
      </c>
      <c r="BC68" s="35"/>
      <c r="BD68" s="123"/>
      <c r="BE68" s="124"/>
      <c r="BF68" s="35" t="s">
        <v>412</v>
      </c>
      <c r="BG68" s="35"/>
      <c r="BH68" s="123"/>
      <c r="BI68" s="124"/>
      <c r="BJ68" s="35" t="s">
        <v>348</v>
      </c>
      <c r="BK68" s="35"/>
      <c r="BL68" s="123"/>
      <c r="BM68" s="124"/>
      <c r="BN68" s="35" t="s">
        <v>176</v>
      </c>
      <c r="BO68" s="35"/>
      <c r="BP68" s="123"/>
      <c r="BQ68" s="124"/>
      <c r="BR68" s="206" t="s">
        <v>413</v>
      </c>
      <c r="BS68" s="35"/>
      <c r="BT68" s="123"/>
      <c r="BU68" s="124"/>
      <c r="BV68" s="35"/>
      <c r="BW68" s="35"/>
      <c r="BX68" s="123"/>
      <c r="BY68" s="124"/>
      <c r="BZ68" s="206" t="s">
        <v>186</v>
      </c>
      <c r="CA68" s="35"/>
      <c r="CB68" s="123"/>
      <c r="CC68" s="124"/>
      <c r="CD68" s="206" t="s">
        <v>414</v>
      </c>
      <c r="CE68" s="35"/>
      <c r="CF68" s="123"/>
      <c r="CG68" s="124"/>
      <c r="CH68" s="35"/>
      <c r="CI68" s="35"/>
      <c r="CJ68" s="123"/>
      <c r="CK68" s="124"/>
      <c r="CL68" s="35" t="s">
        <v>415</v>
      </c>
      <c r="CM68" s="35"/>
      <c r="CN68" s="123"/>
      <c r="CO68" s="124"/>
      <c r="CP68" s="35" t="s">
        <v>416</v>
      </c>
      <c r="CQ68" s="35"/>
      <c r="CR68" s="123"/>
      <c r="CS68" s="124"/>
      <c r="CT68" s="35" t="s">
        <v>417</v>
      </c>
      <c r="CU68" s="35"/>
      <c r="CV68" s="123"/>
      <c r="CW68" s="124"/>
      <c r="CX68" s="35"/>
      <c r="CY68" s="35" t="s">
        <v>418</v>
      </c>
      <c r="CZ68" s="123"/>
      <c r="DA68" s="124"/>
      <c r="DB68" s="35" t="s">
        <v>227</v>
      </c>
      <c r="DC68" s="35"/>
      <c r="DD68" s="123"/>
      <c r="DE68" s="124"/>
      <c r="DF68" s="35" t="s">
        <v>186</v>
      </c>
      <c r="DG68" s="35"/>
      <c r="DH68" s="123"/>
      <c r="DI68" s="124"/>
      <c r="DJ68" s="35"/>
      <c r="DK68" s="35"/>
      <c r="DL68" s="35"/>
      <c r="DM68" s="35" t="s">
        <v>419</v>
      </c>
      <c r="DN68" s="35"/>
      <c r="DO68" s="123"/>
      <c r="DP68" s="124"/>
      <c r="DQ68" s="35" t="s">
        <v>420</v>
      </c>
      <c r="DR68" s="35"/>
      <c r="DS68" s="123"/>
      <c r="DT68" s="124"/>
      <c r="DU68" s="35" t="s">
        <v>421</v>
      </c>
      <c r="DV68" s="35"/>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row>
    <row r="69" spans="1:177" ht="12.75" customHeight="1" x14ac:dyDescent="0.2">
      <c r="A69" s="85"/>
      <c r="B69" s="85"/>
      <c r="C69" s="91"/>
      <c r="D69" s="92"/>
      <c r="E69" s="127"/>
      <c r="F69" s="85"/>
      <c r="G69" s="91"/>
      <c r="H69" s="92"/>
      <c r="I69" s="127"/>
      <c r="J69" s="85"/>
      <c r="K69" s="91"/>
      <c r="L69" s="92"/>
      <c r="M69" s="127"/>
      <c r="N69" s="85"/>
      <c r="O69" s="91"/>
      <c r="P69" s="92"/>
      <c r="Q69" s="85"/>
      <c r="R69" s="127"/>
      <c r="S69" s="85"/>
      <c r="T69" s="91"/>
      <c r="U69" s="92"/>
      <c r="V69" s="127"/>
      <c r="W69" s="85"/>
      <c r="X69" s="91"/>
      <c r="Y69" s="92"/>
      <c r="Z69" s="127"/>
      <c r="AA69" s="85"/>
      <c r="AB69" s="91"/>
      <c r="AC69" s="92"/>
      <c r="AD69" s="127"/>
      <c r="AE69" s="85"/>
      <c r="AF69" s="91"/>
      <c r="AG69" s="92"/>
      <c r="AH69" s="127"/>
      <c r="AI69" s="85"/>
      <c r="AJ69" s="91"/>
      <c r="AK69" s="92"/>
      <c r="AL69" s="127"/>
      <c r="AM69" s="85"/>
      <c r="AN69" s="91"/>
      <c r="AO69" s="92"/>
      <c r="AP69" s="127"/>
      <c r="AQ69" s="85"/>
      <c r="AR69" s="91"/>
      <c r="AS69" s="92"/>
      <c r="AT69" s="127"/>
      <c r="AU69" s="85"/>
      <c r="AV69" s="91"/>
      <c r="AW69" s="92"/>
      <c r="AX69" s="127"/>
      <c r="AY69" s="85"/>
      <c r="AZ69" s="91"/>
      <c r="BA69" s="92"/>
      <c r="BB69" s="127"/>
      <c r="BC69" s="85"/>
      <c r="BD69" s="91"/>
      <c r="BE69" s="92"/>
      <c r="BF69" s="127"/>
      <c r="BG69" s="85"/>
      <c r="BH69" s="91"/>
      <c r="BI69" s="92"/>
      <c r="BJ69" s="127"/>
      <c r="BK69" s="85"/>
      <c r="BL69" s="91"/>
      <c r="BM69" s="92"/>
      <c r="BN69" s="127"/>
      <c r="BO69" s="85"/>
      <c r="BP69" s="91"/>
      <c r="BQ69" s="92"/>
      <c r="BR69" s="127"/>
      <c r="BS69" s="85"/>
      <c r="BT69" s="91"/>
      <c r="BU69" s="92"/>
      <c r="BV69" s="85"/>
      <c r="BW69" s="85"/>
      <c r="BX69" s="91"/>
      <c r="BY69" s="92"/>
      <c r="BZ69" s="127"/>
      <c r="CA69" s="85"/>
      <c r="CB69" s="91"/>
      <c r="CC69" s="92"/>
      <c r="CD69" s="127"/>
      <c r="CE69" s="85"/>
      <c r="CF69" s="91"/>
      <c r="CG69" s="92"/>
      <c r="CH69" s="127"/>
      <c r="CI69" s="85"/>
      <c r="CJ69" s="91"/>
      <c r="CK69" s="92"/>
      <c r="CL69" s="127"/>
      <c r="CM69" s="85"/>
      <c r="CN69" s="91"/>
      <c r="CO69" s="92"/>
      <c r="CP69" s="127"/>
      <c r="CQ69" s="85"/>
      <c r="CR69" s="91"/>
      <c r="CS69" s="92"/>
      <c r="CT69" s="127"/>
      <c r="CU69" s="85"/>
      <c r="CV69" s="91"/>
      <c r="CW69" s="92"/>
      <c r="CX69" s="127"/>
      <c r="CY69" s="127"/>
      <c r="CZ69" s="91"/>
      <c r="DA69" s="92"/>
      <c r="DB69" s="127"/>
      <c r="DC69" s="85"/>
      <c r="DD69" s="91"/>
      <c r="DE69" s="92"/>
      <c r="DF69" s="127"/>
      <c r="DG69" s="85"/>
      <c r="DH69" s="91"/>
      <c r="DI69" s="92"/>
      <c r="DJ69" s="127"/>
      <c r="DK69" s="85"/>
      <c r="DL69" s="127"/>
      <c r="DM69" s="127"/>
      <c r="DN69" s="85"/>
      <c r="DO69" s="91"/>
      <c r="DP69" s="92"/>
      <c r="DQ69" s="127"/>
      <c r="DR69" s="85"/>
      <c r="DS69" s="91"/>
      <c r="DT69" s="92"/>
      <c r="DU69" s="127">
        <f>169898.048/529355.165</f>
        <v>0.32095284835843624</v>
      </c>
      <c r="DV69" s="85"/>
    </row>
    <row r="70" spans="1:177" s="74" customFormat="1" ht="12.75" customHeight="1" x14ac:dyDescent="0.2">
      <c r="A70" s="122"/>
      <c r="B70" s="122" t="s">
        <v>217</v>
      </c>
      <c r="C70" s="123"/>
      <c r="D70" s="124"/>
      <c r="E70" s="35" t="s">
        <v>228</v>
      </c>
      <c r="F70" s="35"/>
      <c r="G70" s="123"/>
      <c r="H70" s="124"/>
      <c r="I70" s="35"/>
      <c r="J70" s="35"/>
      <c r="K70" s="123"/>
      <c r="L70" s="124"/>
      <c r="M70" s="35"/>
      <c r="N70" s="35"/>
      <c r="O70" s="123"/>
      <c r="P70" s="124"/>
      <c r="Q70" s="35"/>
      <c r="R70" s="35"/>
      <c r="S70" s="35"/>
      <c r="T70" s="123"/>
      <c r="U70" s="124"/>
      <c r="V70" s="35"/>
      <c r="W70" s="35"/>
      <c r="X70" s="123"/>
      <c r="Y70" s="124"/>
      <c r="Z70" s="35"/>
      <c r="AA70" s="35"/>
      <c r="AB70" s="123"/>
      <c r="AC70" s="124"/>
      <c r="AD70" s="35" t="s">
        <v>422</v>
      </c>
      <c r="AE70" s="35"/>
      <c r="AF70" s="123"/>
      <c r="AG70" s="124"/>
      <c r="AH70" s="35"/>
      <c r="AI70" s="35"/>
      <c r="AJ70" s="123"/>
      <c r="AK70" s="124"/>
      <c r="AL70" s="35"/>
      <c r="AM70" s="35"/>
      <c r="AN70" s="123"/>
      <c r="AO70" s="124"/>
      <c r="AP70" s="35" t="s">
        <v>423</v>
      </c>
      <c r="AQ70" s="35"/>
      <c r="AR70" s="123"/>
      <c r="AS70" s="124"/>
      <c r="AT70" s="35" t="s">
        <v>424</v>
      </c>
      <c r="AU70" s="35"/>
      <c r="AV70" s="123"/>
      <c r="AW70" s="124"/>
      <c r="AX70" s="35"/>
      <c r="AY70" s="35"/>
      <c r="AZ70" s="123"/>
      <c r="BA70" s="124"/>
      <c r="BB70" s="35"/>
      <c r="BC70" s="35"/>
      <c r="BD70" s="123"/>
      <c r="BE70" s="124"/>
      <c r="BF70" s="35"/>
      <c r="BG70" s="35"/>
      <c r="BH70" s="123"/>
      <c r="BI70" s="124"/>
      <c r="BJ70" s="35"/>
      <c r="BK70" s="35"/>
      <c r="BL70" s="123"/>
      <c r="BM70" s="124"/>
      <c r="BN70" s="35"/>
      <c r="BO70" s="35"/>
      <c r="BP70" s="123"/>
      <c r="BQ70" s="124"/>
      <c r="BR70" s="206"/>
      <c r="BS70" s="35"/>
      <c r="BT70" s="123"/>
      <c r="BU70" s="124"/>
      <c r="BV70" s="35"/>
      <c r="BW70" s="35"/>
      <c r="BX70" s="123"/>
      <c r="BY70" s="124"/>
      <c r="BZ70" s="206"/>
      <c r="CA70" s="35"/>
      <c r="CB70" s="123"/>
      <c r="CC70" s="124"/>
      <c r="CD70" s="206" t="s">
        <v>425</v>
      </c>
      <c r="CE70" s="35"/>
      <c r="CF70" s="123"/>
      <c r="CG70" s="124"/>
      <c r="CH70" s="35"/>
      <c r="CI70" s="35"/>
      <c r="CJ70" s="123"/>
      <c r="CK70" s="124"/>
      <c r="CL70" s="35"/>
      <c r="CM70" s="35"/>
      <c r="CN70" s="123"/>
      <c r="CO70" s="124"/>
      <c r="CP70" s="35" t="s">
        <v>426</v>
      </c>
      <c r="CQ70" s="35"/>
      <c r="CR70" s="123"/>
      <c r="CS70" s="124"/>
      <c r="CT70" s="35"/>
      <c r="CU70" s="35"/>
      <c r="CV70" s="123"/>
      <c r="CW70" s="124"/>
      <c r="CX70" s="35"/>
      <c r="CY70" s="35" t="s">
        <v>423</v>
      </c>
      <c r="CZ70" s="123"/>
      <c r="DA70" s="124"/>
      <c r="DB70" s="35"/>
      <c r="DC70" s="35"/>
      <c r="DD70" s="123"/>
      <c r="DE70" s="124"/>
      <c r="DF70" s="35"/>
      <c r="DG70" s="35"/>
      <c r="DH70" s="123"/>
      <c r="DI70" s="124"/>
      <c r="DJ70" s="35"/>
      <c r="DK70" s="35"/>
      <c r="DL70" s="35"/>
      <c r="DM70" s="35"/>
      <c r="DN70" s="35"/>
      <c r="DO70" s="123"/>
      <c r="DP70" s="124"/>
      <c r="DQ70" s="35"/>
      <c r="DR70" s="35"/>
      <c r="DS70" s="123"/>
      <c r="DT70" s="124"/>
      <c r="DU70" s="35" t="s">
        <v>427</v>
      </c>
      <c r="DV70" s="35"/>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row>
    <row r="71" spans="1:177" ht="12.75" customHeight="1" x14ac:dyDescent="0.2">
      <c r="A71" s="85"/>
      <c r="B71" s="85"/>
      <c r="C71" s="91"/>
      <c r="D71" s="92"/>
      <c r="E71" s="130"/>
      <c r="F71" s="85"/>
      <c r="G71" s="91"/>
      <c r="H71" s="92"/>
      <c r="I71" s="130"/>
      <c r="J71" s="85"/>
      <c r="K71" s="91"/>
      <c r="L71" s="92"/>
      <c r="M71" s="130"/>
      <c r="N71" s="85"/>
      <c r="O71" s="91"/>
      <c r="P71" s="92"/>
      <c r="Q71" s="85"/>
      <c r="R71" s="130"/>
      <c r="S71" s="85"/>
      <c r="T71" s="91"/>
      <c r="U71" s="92"/>
      <c r="V71" s="130"/>
      <c r="W71" s="85"/>
      <c r="X71" s="91"/>
      <c r="Y71" s="92"/>
      <c r="Z71" s="130"/>
      <c r="AA71" s="85"/>
      <c r="AB71" s="91"/>
      <c r="AC71" s="92"/>
      <c r="AD71" s="130"/>
      <c r="AE71" s="85"/>
      <c r="AF71" s="91"/>
      <c r="AG71" s="92"/>
      <c r="AH71" s="130"/>
      <c r="AI71" s="85"/>
      <c r="AJ71" s="91"/>
      <c r="AK71" s="92"/>
      <c r="AL71" s="130"/>
      <c r="AM71" s="85"/>
      <c r="AN71" s="91"/>
      <c r="AO71" s="92"/>
      <c r="AP71" s="130"/>
      <c r="AQ71" s="85"/>
      <c r="AR71" s="91"/>
      <c r="AS71" s="92"/>
      <c r="AT71" s="130"/>
      <c r="AU71" s="85"/>
      <c r="AV71" s="91"/>
      <c r="AW71" s="92"/>
      <c r="AX71" s="130"/>
      <c r="AY71" s="85"/>
      <c r="AZ71" s="91"/>
      <c r="BA71" s="92"/>
      <c r="BB71" s="130"/>
      <c r="BC71" s="85"/>
      <c r="BD71" s="91"/>
      <c r="BE71" s="92"/>
      <c r="BF71" s="130"/>
      <c r="BG71" s="85"/>
      <c r="BH71" s="91"/>
      <c r="BI71" s="92"/>
      <c r="BJ71" s="130"/>
      <c r="BK71" s="85"/>
      <c r="BL71" s="91"/>
      <c r="BM71" s="92"/>
      <c r="BN71" s="130"/>
      <c r="BO71" s="85"/>
      <c r="BP71" s="91"/>
      <c r="BQ71" s="92"/>
      <c r="BR71" s="130"/>
      <c r="BS71" s="85"/>
      <c r="BT71" s="91"/>
      <c r="BU71" s="92"/>
      <c r="BV71" s="85"/>
      <c r="BW71" s="85"/>
      <c r="BX71" s="91"/>
      <c r="BY71" s="92"/>
      <c r="BZ71" s="130"/>
      <c r="CA71" s="85"/>
      <c r="CB71" s="91"/>
      <c r="CC71" s="92"/>
      <c r="CD71" s="130"/>
      <c r="CE71" s="85"/>
      <c r="CF71" s="91"/>
      <c r="CG71" s="92"/>
      <c r="CH71" s="130"/>
      <c r="CI71" s="85"/>
      <c r="CJ71" s="91"/>
      <c r="CK71" s="92"/>
      <c r="CL71" s="130"/>
      <c r="CM71" s="85"/>
      <c r="CN71" s="91"/>
      <c r="CO71" s="92"/>
      <c r="CP71" s="130"/>
      <c r="CQ71" s="85"/>
      <c r="CR71" s="91"/>
      <c r="CS71" s="92"/>
      <c r="CT71" s="130"/>
      <c r="CU71" s="85"/>
      <c r="CV71" s="91"/>
      <c r="CW71" s="92"/>
      <c r="CX71" s="130"/>
      <c r="CY71" s="130"/>
      <c r="CZ71" s="91"/>
      <c r="DA71" s="92"/>
      <c r="DB71" s="130"/>
      <c r="DC71" s="85"/>
      <c r="DD71" s="91"/>
      <c r="DE71" s="92"/>
      <c r="DF71" s="130"/>
      <c r="DG71" s="85"/>
      <c r="DH71" s="91"/>
      <c r="DI71" s="92"/>
      <c r="DJ71" s="130"/>
      <c r="DK71" s="85"/>
      <c r="DL71" s="130"/>
      <c r="DM71" s="130"/>
      <c r="DN71" s="85"/>
      <c r="DO71" s="91"/>
      <c r="DP71" s="92"/>
      <c r="DQ71" s="130"/>
      <c r="DR71" s="85"/>
      <c r="DS71" s="91"/>
      <c r="DT71" s="92"/>
      <c r="DU71" s="130"/>
      <c r="DV71" s="85"/>
    </row>
    <row r="72" spans="1:177" s="74" customFormat="1" ht="12.75" customHeight="1" x14ac:dyDescent="0.2">
      <c r="A72" s="93"/>
      <c r="B72" s="93" t="s">
        <v>233</v>
      </c>
      <c r="C72" s="101"/>
      <c r="D72" s="102"/>
      <c r="E72" s="93"/>
      <c r="F72" s="93"/>
      <c r="G72" s="101"/>
      <c r="H72" s="102"/>
      <c r="I72" s="93"/>
      <c r="J72" s="93"/>
      <c r="K72" s="101"/>
      <c r="L72" s="102"/>
      <c r="M72" s="93"/>
      <c r="N72" s="93"/>
      <c r="O72" s="101"/>
      <c r="P72" s="102"/>
      <c r="Q72" s="93"/>
      <c r="R72" s="93"/>
      <c r="S72" s="93"/>
      <c r="T72" s="101"/>
      <c r="U72" s="102"/>
      <c r="V72" s="93"/>
      <c r="W72" s="93"/>
      <c r="X72" s="101"/>
      <c r="Y72" s="102"/>
      <c r="Z72" s="93" t="s">
        <v>428</v>
      </c>
      <c r="AA72" s="93"/>
      <c r="AB72" s="101"/>
      <c r="AC72" s="102"/>
      <c r="AD72" s="93"/>
      <c r="AE72" s="93"/>
      <c r="AF72" s="101"/>
      <c r="AG72" s="102"/>
      <c r="AH72" s="93"/>
      <c r="AI72" s="93"/>
      <c r="AJ72" s="101"/>
      <c r="AK72" s="102"/>
      <c r="AL72" s="93"/>
      <c r="AM72" s="93"/>
      <c r="AN72" s="101"/>
      <c r="AO72" s="102"/>
      <c r="AP72" s="93" t="s">
        <v>367</v>
      </c>
      <c r="AQ72" s="93"/>
      <c r="AR72" s="101"/>
      <c r="AS72" s="102"/>
      <c r="AT72" s="74" t="s">
        <v>238</v>
      </c>
      <c r="AU72" s="93"/>
      <c r="AV72" s="101"/>
      <c r="AW72" s="102"/>
      <c r="AX72" s="93"/>
      <c r="AY72" s="93"/>
      <c r="AZ72" s="101"/>
      <c r="BA72" s="102"/>
      <c r="BB72" s="93" t="s">
        <v>429</v>
      </c>
      <c r="BC72" s="93"/>
      <c r="BD72" s="101"/>
      <c r="BE72" s="102"/>
      <c r="BF72" s="93"/>
      <c r="BG72" s="93"/>
      <c r="BH72" s="101"/>
      <c r="BI72" s="102"/>
      <c r="BJ72" s="93"/>
      <c r="BK72" s="93"/>
      <c r="BL72" s="101"/>
      <c r="BM72" s="102"/>
      <c r="BN72" s="93"/>
      <c r="BO72" s="93"/>
      <c r="BP72" s="101"/>
      <c r="BQ72" s="102"/>
      <c r="BR72" s="93"/>
      <c r="BS72" s="93"/>
      <c r="BT72" s="101"/>
      <c r="BU72" s="102"/>
      <c r="BV72" s="93"/>
      <c r="BW72" s="93"/>
      <c r="BX72" s="101"/>
      <c r="BY72" s="102"/>
      <c r="BZ72" s="93"/>
      <c r="CA72" s="93"/>
      <c r="CB72" s="101"/>
      <c r="CC72" s="102"/>
      <c r="CD72" s="93"/>
      <c r="CE72" s="93"/>
      <c r="CF72" s="101"/>
      <c r="CG72" s="102"/>
      <c r="CH72" s="93"/>
      <c r="CI72" s="93"/>
      <c r="CJ72" s="101"/>
      <c r="CK72" s="102"/>
      <c r="CL72" s="93"/>
      <c r="CM72" s="93"/>
      <c r="CN72" s="101"/>
      <c r="CO72" s="102"/>
      <c r="CP72" s="93"/>
      <c r="CQ72" s="93"/>
      <c r="CR72" s="101"/>
      <c r="CS72" s="102"/>
      <c r="CT72" s="93"/>
      <c r="CU72" s="93"/>
      <c r="CV72" s="101"/>
      <c r="CW72" s="102"/>
      <c r="CX72" s="93"/>
      <c r="CY72" s="93" t="s">
        <v>237</v>
      </c>
      <c r="CZ72" s="101"/>
      <c r="DA72" s="102"/>
      <c r="DB72" s="93"/>
      <c r="DC72" s="93"/>
      <c r="DD72" s="101"/>
      <c r="DE72" s="102"/>
      <c r="DF72" s="93" t="s">
        <v>237</v>
      </c>
      <c r="DG72" s="93"/>
      <c r="DH72" s="101"/>
      <c r="DI72" s="102"/>
      <c r="DJ72" s="93"/>
      <c r="DK72" s="93"/>
      <c r="DL72" s="93"/>
      <c r="DM72" s="93"/>
      <c r="DN72" s="93"/>
      <c r="DO72" s="101"/>
      <c r="DP72" s="102"/>
      <c r="DQ72" s="93"/>
      <c r="DR72" s="93"/>
      <c r="DS72" s="101"/>
      <c r="DT72" s="102"/>
      <c r="DU72" s="93"/>
      <c r="DV72" s="93"/>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row>
    <row r="73" spans="1:177" ht="12.75" customHeight="1" x14ac:dyDescent="0.2">
      <c r="A73" s="85"/>
      <c r="B73" s="85"/>
      <c r="C73" s="91"/>
      <c r="D73" s="92"/>
      <c r="E73" s="85"/>
      <c r="F73" s="85"/>
      <c r="G73" s="91"/>
      <c r="H73" s="92"/>
      <c r="I73" s="85"/>
      <c r="J73" s="85"/>
      <c r="K73" s="91"/>
      <c r="L73" s="92"/>
      <c r="M73" s="85"/>
      <c r="N73" s="85"/>
      <c r="O73" s="91"/>
      <c r="P73" s="92"/>
      <c r="Q73" s="85"/>
      <c r="R73" s="85"/>
      <c r="S73" s="85"/>
      <c r="T73" s="91"/>
      <c r="U73" s="92"/>
      <c r="V73" s="85"/>
      <c r="W73" s="85"/>
      <c r="X73" s="91"/>
      <c r="Y73" s="92"/>
      <c r="Z73" s="85"/>
      <c r="AA73" s="85"/>
      <c r="AB73" s="91"/>
      <c r="AC73" s="92"/>
      <c r="AD73" s="85"/>
      <c r="AE73" s="85"/>
      <c r="AF73" s="91"/>
      <c r="AG73" s="92"/>
      <c r="AH73" s="85"/>
      <c r="AI73" s="85"/>
      <c r="AJ73" s="91"/>
      <c r="AK73" s="92"/>
      <c r="AL73" s="85"/>
      <c r="AM73" s="85"/>
      <c r="AN73" s="91"/>
      <c r="AO73" s="92"/>
      <c r="AP73" s="85"/>
      <c r="AQ73" s="85"/>
      <c r="AR73" s="91"/>
      <c r="AS73" s="92"/>
      <c r="AT73" s="85"/>
      <c r="AU73" s="85"/>
      <c r="AV73" s="91"/>
      <c r="AW73" s="92"/>
      <c r="AX73" s="85"/>
      <c r="AY73" s="85"/>
      <c r="AZ73" s="91"/>
      <c r="BA73" s="92"/>
      <c r="BB73" s="85"/>
      <c r="BC73" s="85"/>
      <c r="BD73" s="91"/>
      <c r="BE73" s="92"/>
      <c r="BF73" s="85"/>
      <c r="BG73" s="85"/>
      <c r="BH73" s="91"/>
      <c r="BI73" s="92"/>
      <c r="BJ73" s="85"/>
      <c r="BK73" s="85"/>
      <c r="BL73" s="91"/>
      <c r="BM73" s="92"/>
      <c r="BN73" s="85"/>
      <c r="BO73" s="85"/>
      <c r="BP73" s="91"/>
      <c r="BQ73" s="92"/>
      <c r="BR73" s="85"/>
      <c r="BS73" s="85"/>
      <c r="BT73" s="91"/>
      <c r="BU73" s="92"/>
      <c r="BV73" s="85"/>
      <c r="BW73" s="85"/>
      <c r="BX73" s="91"/>
      <c r="BY73" s="92"/>
      <c r="BZ73" s="85"/>
      <c r="CA73" s="85"/>
      <c r="CB73" s="91"/>
      <c r="CC73" s="92"/>
      <c r="CD73" s="85"/>
      <c r="CE73" s="85"/>
      <c r="CF73" s="91"/>
      <c r="CG73" s="92"/>
      <c r="CH73" s="85"/>
      <c r="CI73" s="85"/>
      <c r="CJ73" s="91"/>
      <c r="CK73" s="92"/>
      <c r="CL73" s="85"/>
      <c r="CM73" s="85"/>
      <c r="CN73" s="91"/>
      <c r="CO73" s="92"/>
      <c r="CP73" s="85"/>
      <c r="CQ73" s="85"/>
      <c r="CR73" s="91"/>
      <c r="CS73" s="92"/>
      <c r="CT73" s="85"/>
      <c r="CU73" s="85"/>
      <c r="CV73" s="91"/>
      <c r="CW73" s="92"/>
      <c r="CX73" s="85"/>
      <c r="CY73" s="85"/>
      <c r="CZ73" s="91"/>
      <c r="DA73" s="92"/>
      <c r="DB73" s="85"/>
      <c r="DC73" s="85"/>
      <c r="DD73" s="91"/>
      <c r="DE73" s="92"/>
      <c r="DF73" s="85"/>
      <c r="DG73" s="85"/>
      <c r="DH73" s="91"/>
      <c r="DI73" s="92"/>
      <c r="DJ73" s="85"/>
      <c r="DK73" s="85"/>
      <c r="DL73" s="85"/>
      <c r="DM73" s="85"/>
      <c r="DN73" s="85"/>
      <c r="DO73" s="91"/>
      <c r="DP73" s="92"/>
      <c r="DQ73" s="85"/>
      <c r="DR73" s="85"/>
      <c r="DS73" s="91"/>
      <c r="DT73" s="92"/>
      <c r="DU73" s="85"/>
      <c r="DV73" s="85"/>
    </row>
    <row r="74" spans="1:177" ht="12.75" customHeight="1" x14ac:dyDescent="0.2">
      <c r="A74" s="85"/>
      <c r="B74" s="85"/>
      <c r="C74" s="91"/>
      <c r="D74" s="92"/>
      <c r="E74" s="85"/>
      <c r="F74" s="85"/>
      <c r="G74" s="91"/>
      <c r="H74" s="92"/>
      <c r="I74" s="85"/>
      <c r="J74" s="85"/>
      <c r="K74" s="91"/>
      <c r="L74" s="92"/>
      <c r="M74" s="85"/>
      <c r="N74" s="85"/>
      <c r="O74" s="91"/>
      <c r="P74" s="92"/>
      <c r="Q74" s="85"/>
      <c r="R74" s="85"/>
      <c r="S74" s="85"/>
      <c r="T74" s="91"/>
      <c r="U74" s="92"/>
      <c r="V74" s="85"/>
      <c r="W74" s="85"/>
      <c r="X74" s="91"/>
      <c r="Y74" s="92"/>
      <c r="Z74" s="85"/>
      <c r="AA74" s="85"/>
      <c r="AB74" s="91"/>
      <c r="AC74" s="92"/>
      <c r="AD74" s="85"/>
      <c r="AE74" s="85"/>
      <c r="AF74" s="91"/>
      <c r="AG74" s="92"/>
      <c r="AH74" s="85"/>
      <c r="AI74" s="85"/>
      <c r="AJ74" s="91"/>
      <c r="AK74" s="92"/>
      <c r="AL74" s="85"/>
      <c r="AM74" s="85"/>
      <c r="AN74" s="91"/>
      <c r="AO74" s="92"/>
      <c r="AP74" s="85"/>
      <c r="AQ74" s="85"/>
      <c r="AR74" s="91"/>
      <c r="AS74" s="92"/>
      <c r="AT74" s="85"/>
      <c r="AU74" s="85"/>
      <c r="AV74" s="91"/>
      <c r="AW74" s="92"/>
      <c r="AX74" s="85"/>
      <c r="AY74" s="85"/>
      <c r="AZ74" s="91"/>
      <c r="BA74" s="92"/>
      <c r="BB74" s="85"/>
      <c r="BC74" s="85"/>
      <c r="BD74" s="91"/>
      <c r="BE74" s="92"/>
      <c r="BF74" s="85"/>
      <c r="BG74" s="85"/>
      <c r="BH74" s="91"/>
      <c r="BI74" s="92"/>
      <c r="BJ74" s="85"/>
      <c r="BK74" s="85"/>
      <c r="BL74" s="91"/>
      <c r="BM74" s="92"/>
      <c r="BN74" s="85"/>
      <c r="BO74" s="85"/>
      <c r="BP74" s="91"/>
      <c r="BQ74" s="92"/>
      <c r="BR74" s="85"/>
      <c r="BS74" s="85"/>
      <c r="BT74" s="91"/>
      <c r="BU74" s="92"/>
      <c r="BV74" s="85"/>
      <c r="BW74" s="85"/>
      <c r="BX74" s="91"/>
      <c r="BY74" s="92"/>
      <c r="BZ74" s="85"/>
      <c r="CA74" s="85"/>
      <c r="CB74" s="91"/>
      <c r="CC74" s="92"/>
      <c r="CD74" s="85"/>
      <c r="CE74" s="85"/>
      <c r="CF74" s="91"/>
      <c r="CG74" s="92"/>
      <c r="CH74" s="85"/>
      <c r="CI74" s="85"/>
      <c r="CJ74" s="91"/>
      <c r="CK74" s="92"/>
      <c r="CL74" s="85"/>
      <c r="CM74" s="85"/>
      <c r="CN74" s="91"/>
      <c r="CO74" s="92"/>
      <c r="CP74" s="85"/>
      <c r="CQ74" s="85"/>
      <c r="CR74" s="91"/>
      <c r="CS74" s="92"/>
      <c r="CT74" s="85"/>
      <c r="CU74" s="85"/>
      <c r="CV74" s="91"/>
      <c r="CW74" s="92"/>
      <c r="CX74" s="85"/>
      <c r="CY74" s="85"/>
      <c r="CZ74" s="91"/>
      <c r="DA74" s="92"/>
      <c r="DB74" s="85"/>
      <c r="DC74" s="85"/>
      <c r="DD74" s="91"/>
      <c r="DE74" s="92"/>
      <c r="DF74" s="85"/>
      <c r="DG74" s="85"/>
      <c r="DH74" s="91"/>
      <c r="DI74" s="92"/>
      <c r="DJ74" s="85"/>
      <c r="DK74" s="85"/>
      <c r="DL74" s="85"/>
      <c r="DM74" s="85"/>
      <c r="DN74" s="85"/>
      <c r="DO74" s="91"/>
      <c r="DP74" s="92"/>
      <c r="DQ74" s="85"/>
      <c r="DR74" s="85"/>
      <c r="DS74" s="91"/>
      <c r="DT74" s="92"/>
      <c r="DU74" s="85"/>
      <c r="DV74" s="85"/>
    </row>
    <row r="75" spans="1:177" s="140" customFormat="1" ht="12.75" customHeight="1" x14ac:dyDescent="0.2">
      <c r="A75" s="134" t="s">
        <v>241</v>
      </c>
      <c r="C75" s="139"/>
      <c r="D75" s="138"/>
      <c r="E75" s="140" t="s">
        <v>374</v>
      </c>
      <c r="F75" s="135"/>
      <c r="G75" s="139"/>
      <c r="H75" s="138"/>
      <c r="I75" s="140" t="s">
        <v>430</v>
      </c>
      <c r="J75" s="135"/>
      <c r="K75" s="139"/>
      <c r="L75" s="138"/>
      <c r="N75" s="135"/>
      <c r="O75" s="139"/>
      <c r="P75" s="138"/>
      <c r="Q75" s="135"/>
      <c r="R75" s="140" t="s">
        <v>431</v>
      </c>
      <c r="S75" s="135"/>
      <c r="T75" s="139"/>
      <c r="U75" s="138"/>
      <c r="V75" s="140" t="s">
        <v>432</v>
      </c>
      <c r="W75" s="135"/>
      <c r="X75" s="139"/>
      <c r="Y75" s="138"/>
      <c r="Z75" s="140" t="s">
        <v>433</v>
      </c>
      <c r="AA75" s="135"/>
      <c r="AB75" s="139"/>
      <c r="AC75" s="138"/>
      <c r="AE75" s="135"/>
      <c r="AF75" s="139"/>
      <c r="AG75" s="138"/>
      <c r="AI75" s="135"/>
      <c r="AJ75" s="139"/>
      <c r="AK75" s="138"/>
      <c r="AL75" s="140" t="s">
        <v>434</v>
      </c>
      <c r="AM75" s="135"/>
      <c r="AN75" s="139"/>
      <c r="AO75" s="138"/>
      <c r="AP75" s="140" t="s">
        <v>435</v>
      </c>
      <c r="AQ75" s="135"/>
      <c r="AR75" s="139"/>
      <c r="AS75" s="138"/>
      <c r="AU75" s="135"/>
      <c r="AV75" s="139"/>
      <c r="AW75" s="138"/>
      <c r="AY75" s="135"/>
      <c r="AZ75" s="139"/>
      <c r="BA75" s="138"/>
      <c r="BC75" s="135"/>
      <c r="BD75" s="139"/>
      <c r="BE75" s="138"/>
      <c r="BG75" s="135"/>
      <c r="BH75" s="139"/>
      <c r="BI75" s="138"/>
      <c r="BJ75" s="140" t="s">
        <v>436</v>
      </c>
      <c r="BK75" s="135"/>
      <c r="BL75" s="139"/>
      <c r="BM75" s="138"/>
      <c r="BO75" s="135"/>
      <c r="BP75" s="139"/>
      <c r="BQ75" s="138"/>
      <c r="BR75" s="140" t="s">
        <v>437</v>
      </c>
      <c r="BS75" s="135"/>
      <c r="BT75" s="139"/>
      <c r="BU75" s="138"/>
      <c r="BV75" s="135"/>
      <c r="BW75" s="135"/>
      <c r="BX75" s="139"/>
      <c r="BY75" s="138"/>
      <c r="CA75" s="135"/>
      <c r="CB75" s="139"/>
      <c r="CC75" s="138"/>
      <c r="CD75" s="140" t="s">
        <v>438</v>
      </c>
      <c r="CE75" s="135"/>
      <c r="CF75" s="139"/>
      <c r="CG75" s="138"/>
      <c r="CI75" s="135"/>
      <c r="CJ75" s="139"/>
      <c r="CK75" s="138"/>
      <c r="CM75" s="135"/>
      <c r="CN75" s="139"/>
      <c r="CO75" s="138"/>
      <c r="CQ75" s="135"/>
      <c r="CR75" s="139"/>
      <c r="CS75" s="138"/>
      <c r="CU75" s="135"/>
      <c r="CV75" s="139"/>
      <c r="CW75" s="138"/>
      <c r="CY75" s="140" t="s">
        <v>439</v>
      </c>
      <c r="CZ75" s="139"/>
      <c r="DA75" s="138"/>
      <c r="DC75" s="135"/>
      <c r="DD75" s="139"/>
      <c r="DE75" s="138"/>
      <c r="DG75" s="135"/>
      <c r="DH75" s="139"/>
      <c r="DI75" s="138"/>
      <c r="DK75" s="135"/>
      <c r="DN75" s="135"/>
      <c r="DO75" s="139"/>
      <c r="DP75" s="138"/>
      <c r="DR75" s="135"/>
      <c r="DS75" s="139"/>
      <c r="DT75" s="138"/>
      <c r="DU75" s="140" t="s">
        <v>440</v>
      </c>
      <c r="DV75" s="135"/>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row>
    <row r="76" spans="1:177" s="74" customFormat="1" ht="12.75" customHeight="1" x14ac:dyDescent="0.2">
      <c r="A76" s="93"/>
      <c r="B76" s="93" t="s">
        <v>260</v>
      </c>
      <c r="C76" s="101"/>
      <c r="D76" s="102"/>
      <c r="E76" s="93"/>
      <c r="F76" s="93"/>
      <c r="G76" s="101"/>
      <c r="H76" s="102"/>
      <c r="I76" s="93"/>
      <c r="J76" s="93"/>
      <c r="K76" s="101"/>
      <c r="L76" s="102"/>
      <c r="M76" s="93"/>
      <c r="N76" s="93"/>
      <c r="O76" s="101"/>
      <c r="P76" s="102"/>
      <c r="Q76" s="93"/>
      <c r="S76" s="93"/>
      <c r="T76" s="101"/>
      <c r="U76" s="102"/>
      <c r="V76" s="74" t="s">
        <v>441</v>
      </c>
      <c r="W76" s="93"/>
      <c r="X76" s="101"/>
      <c r="Y76" s="102"/>
      <c r="Z76" s="93"/>
      <c r="AA76" s="93"/>
      <c r="AB76" s="101"/>
      <c r="AC76" s="102"/>
      <c r="AD76" s="93"/>
      <c r="AE76" s="93"/>
      <c r="AF76" s="101"/>
      <c r="AG76" s="102"/>
      <c r="AH76" s="93"/>
      <c r="AI76" s="93"/>
      <c r="AJ76" s="101"/>
      <c r="AK76" s="102"/>
      <c r="AL76" s="93"/>
      <c r="AM76" s="93"/>
      <c r="AN76" s="101"/>
      <c r="AO76" s="102"/>
      <c r="AP76" s="93"/>
      <c r="AQ76" s="93"/>
      <c r="AR76" s="101"/>
      <c r="AS76" s="102"/>
      <c r="AT76" s="93"/>
      <c r="AU76" s="93"/>
      <c r="AV76" s="101"/>
      <c r="AW76" s="102"/>
      <c r="AX76" s="93"/>
      <c r="AY76" s="93"/>
      <c r="AZ76" s="101"/>
      <c r="BA76" s="102"/>
      <c r="BB76" s="93"/>
      <c r="BC76" s="93"/>
      <c r="BD76" s="101"/>
      <c r="BE76" s="102"/>
      <c r="BF76" s="93"/>
      <c r="BG76" s="93"/>
      <c r="BH76" s="101"/>
      <c r="BI76" s="102"/>
      <c r="BJ76" s="93"/>
      <c r="BK76" s="93"/>
      <c r="BL76" s="101"/>
      <c r="BM76" s="102"/>
      <c r="BN76" s="93"/>
      <c r="BO76" s="93"/>
      <c r="BP76" s="101"/>
      <c r="BQ76" s="102"/>
      <c r="BR76" s="93" t="s">
        <v>442</v>
      </c>
      <c r="BS76" s="93"/>
      <c r="BT76" s="101"/>
      <c r="BU76" s="102"/>
      <c r="BV76" s="93"/>
      <c r="BW76" s="93"/>
      <c r="BX76" s="101"/>
      <c r="BY76" s="102"/>
      <c r="BZ76" s="93"/>
      <c r="CA76" s="93"/>
      <c r="CB76" s="101"/>
      <c r="CC76" s="102"/>
      <c r="CD76" s="93"/>
      <c r="CE76" s="93"/>
      <c r="CF76" s="101"/>
      <c r="CG76" s="102"/>
      <c r="CH76" s="93"/>
      <c r="CI76" s="93"/>
      <c r="CJ76" s="101"/>
      <c r="CK76" s="102"/>
      <c r="CL76" s="93"/>
      <c r="CM76" s="93"/>
      <c r="CN76" s="101"/>
      <c r="CO76" s="102"/>
      <c r="CP76" s="93"/>
      <c r="CQ76" s="93"/>
      <c r="CR76" s="101"/>
      <c r="CS76" s="102"/>
      <c r="CT76" s="93"/>
      <c r="CU76" s="93"/>
      <c r="CV76" s="101"/>
      <c r="CW76" s="102"/>
      <c r="CX76" s="93"/>
      <c r="CY76" s="93" t="s">
        <v>443</v>
      </c>
      <c r="CZ76" s="101"/>
      <c r="DA76" s="102"/>
      <c r="DB76" s="93"/>
      <c r="DC76" s="93"/>
      <c r="DD76" s="101"/>
      <c r="DE76" s="102"/>
      <c r="DF76" s="93"/>
      <c r="DG76" s="93"/>
      <c r="DH76" s="101"/>
      <c r="DI76" s="102"/>
      <c r="DJ76" s="93"/>
      <c r="DK76" s="93"/>
      <c r="DL76" s="93"/>
      <c r="DM76" s="93"/>
      <c r="DN76" s="93"/>
      <c r="DO76" s="101"/>
      <c r="DP76" s="102"/>
      <c r="DQ76" s="93"/>
      <c r="DR76" s="93"/>
      <c r="DS76" s="101"/>
      <c r="DT76" s="102"/>
      <c r="DU76" s="93" t="s">
        <v>444</v>
      </c>
      <c r="DV76" s="93"/>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row>
    <row r="77" spans="1:177" s="74" customFormat="1" ht="12.75" customHeight="1" x14ac:dyDescent="0.2">
      <c r="A77" s="142"/>
      <c r="B77" s="93" t="s">
        <v>265</v>
      </c>
      <c r="C77" s="101"/>
      <c r="D77" s="102"/>
      <c r="E77" s="93"/>
      <c r="F77" s="93"/>
      <c r="G77" s="101"/>
      <c r="H77" s="102"/>
      <c r="I77" s="93"/>
      <c r="J77" s="93"/>
      <c r="K77" s="101"/>
      <c r="L77" s="102"/>
      <c r="M77" s="93"/>
      <c r="N77" s="93"/>
      <c r="O77" s="101"/>
      <c r="P77" s="102"/>
      <c r="Q77" s="93"/>
      <c r="R77" s="54"/>
      <c r="S77" s="93"/>
      <c r="T77" s="101"/>
      <c r="U77" s="102"/>
      <c r="V77" s="93" t="s">
        <v>445</v>
      </c>
      <c r="W77" s="93"/>
      <c r="X77" s="101"/>
      <c r="Y77" s="102"/>
      <c r="Z77" s="93"/>
      <c r="AA77" s="93"/>
      <c r="AB77" s="101"/>
      <c r="AC77" s="102"/>
      <c r="AD77" s="93"/>
      <c r="AE77" s="93"/>
      <c r="AF77" s="101"/>
      <c r="AG77" s="102"/>
      <c r="AH77" s="93"/>
      <c r="AI77" s="93"/>
      <c r="AJ77" s="101"/>
      <c r="AK77" s="102"/>
      <c r="AL77" s="93"/>
      <c r="AM77" s="93"/>
      <c r="AN77" s="101"/>
      <c r="AO77" s="102"/>
      <c r="AP77" s="93"/>
      <c r="AQ77" s="93"/>
      <c r="AR77" s="101"/>
      <c r="AS77" s="102"/>
      <c r="AT77" s="93"/>
      <c r="AU77" s="93"/>
      <c r="AV77" s="101"/>
      <c r="AW77" s="102"/>
      <c r="AX77" s="93"/>
      <c r="AY77" s="93"/>
      <c r="AZ77" s="101"/>
      <c r="BA77" s="102"/>
      <c r="BB77" s="93"/>
      <c r="BC77" s="93"/>
      <c r="BD77" s="101"/>
      <c r="BE77" s="102"/>
      <c r="BF77" s="93"/>
      <c r="BG77" s="93"/>
      <c r="BH77" s="101"/>
      <c r="BI77" s="102"/>
      <c r="BJ77" s="93"/>
      <c r="BK77" s="93"/>
      <c r="BL77" s="101"/>
      <c r="BM77" s="102"/>
      <c r="BN77" s="93"/>
      <c r="BO77" s="93"/>
      <c r="BP77" s="101"/>
      <c r="BQ77" s="102"/>
      <c r="BR77" s="93"/>
      <c r="BS77" s="93"/>
      <c r="BT77" s="101"/>
      <c r="BU77" s="102"/>
      <c r="BV77" s="93"/>
      <c r="BW77" s="93"/>
      <c r="BX77" s="101"/>
      <c r="BY77" s="102"/>
      <c r="BZ77" s="93"/>
      <c r="CA77" s="93"/>
      <c r="CB77" s="101"/>
      <c r="CC77" s="102"/>
      <c r="CD77" s="93"/>
      <c r="CE77" s="93"/>
      <c r="CF77" s="101"/>
      <c r="CG77" s="102"/>
      <c r="CH77" s="93"/>
      <c r="CI77" s="93"/>
      <c r="CJ77" s="101"/>
      <c r="CK77" s="102"/>
      <c r="CL77" s="93"/>
      <c r="CM77" s="93"/>
      <c r="CN77" s="101"/>
      <c r="CO77" s="102"/>
      <c r="CP77" s="93"/>
      <c r="CQ77" s="93"/>
      <c r="CR77" s="101"/>
      <c r="CS77" s="102"/>
      <c r="CT77" s="93"/>
      <c r="CU77" s="93"/>
      <c r="CV77" s="101"/>
      <c r="CW77" s="102"/>
      <c r="CX77" s="93"/>
      <c r="CY77" s="93"/>
      <c r="CZ77" s="101"/>
      <c r="DA77" s="102"/>
      <c r="DB77" s="93"/>
      <c r="DC77" s="93"/>
      <c r="DD77" s="101"/>
      <c r="DE77" s="102"/>
      <c r="DF77" s="93"/>
      <c r="DG77" s="93"/>
      <c r="DH77" s="101"/>
      <c r="DI77" s="102"/>
      <c r="DJ77" s="93"/>
      <c r="DK77" s="93"/>
      <c r="DL77" s="93"/>
      <c r="DM77" s="93"/>
      <c r="DN77" s="93"/>
      <c r="DO77" s="101"/>
      <c r="DP77" s="102"/>
      <c r="DQ77" s="93"/>
      <c r="DR77" s="93"/>
      <c r="DS77" s="101"/>
      <c r="DT77" s="102"/>
      <c r="DU77" s="93"/>
      <c r="DV77" s="93"/>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row>
    <row r="78" spans="1:177" ht="12.75" customHeight="1" x14ac:dyDescent="0.25">
      <c r="A78" s="143"/>
      <c r="B78" s="85"/>
      <c r="C78" s="91"/>
      <c r="D78" s="92"/>
      <c r="E78" s="85"/>
      <c r="F78" s="85"/>
      <c r="G78" s="91"/>
      <c r="H78" s="92"/>
      <c r="I78" s="85"/>
      <c r="J78" s="85"/>
      <c r="K78" s="91"/>
      <c r="L78" s="92"/>
      <c r="M78" s="85"/>
      <c r="N78" s="85"/>
      <c r="O78" s="91"/>
      <c r="P78" s="92"/>
      <c r="Q78" s="85"/>
      <c r="S78" s="85"/>
      <c r="T78" s="91"/>
      <c r="U78" s="92"/>
      <c r="V78" s="84"/>
      <c r="W78" s="85"/>
      <c r="X78" s="91"/>
      <c r="Y78" s="92"/>
      <c r="Z78" s="85"/>
      <c r="AA78" s="85"/>
      <c r="AB78" s="91"/>
      <c r="AC78" s="92"/>
      <c r="AD78" s="85"/>
      <c r="AE78" s="85"/>
      <c r="AF78" s="91"/>
      <c r="AG78" s="92"/>
      <c r="AH78" s="85"/>
      <c r="AI78" s="85"/>
      <c r="AJ78" s="91"/>
      <c r="AK78" s="92"/>
      <c r="AL78" s="85"/>
      <c r="AM78" s="85"/>
      <c r="AN78" s="91"/>
      <c r="AO78" s="92"/>
      <c r="AP78" s="85"/>
      <c r="AQ78" s="85"/>
      <c r="AR78" s="91"/>
      <c r="AS78" s="92"/>
      <c r="AT78" s="85"/>
      <c r="AU78" s="85"/>
      <c r="AV78" s="91"/>
      <c r="AW78" s="92"/>
      <c r="AX78" s="85"/>
      <c r="AY78" s="85"/>
      <c r="AZ78" s="91"/>
      <c r="BA78" s="92"/>
      <c r="BB78" s="85"/>
      <c r="BC78" s="85"/>
      <c r="BD78" s="91"/>
      <c r="BE78" s="92"/>
      <c r="BF78" s="85"/>
      <c r="BG78" s="85"/>
      <c r="BH78" s="91"/>
      <c r="BI78" s="92"/>
      <c r="BJ78" s="85"/>
      <c r="BK78" s="85"/>
      <c r="BL78" s="91"/>
      <c r="BM78" s="92"/>
      <c r="BN78" s="85"/>
      <c r="BO78" s="85"/>
      <c r="BP78" s="91"/>
      <c r="BQ78" s="92"/>
      <c r="BR78" s="85"/>
      <c r="BS78" s="85"/>
      <c r="BT78" s="91"/>
      <c r="BU78" s="92"/>
      <c r="BV78" s="85"/>
      <c r="BW78" s="85"/>
      <c r="BX78" s="91"/>
      <c r="BY78" s="92"/>
      <c r="BZ78" s="85"/>
      <c r="CA78" s="85"/>
      <c r="CB78" s="91"/>
      <c r="CC78" s="92"/>
      <c r="CD78" s="85"/>
      <c r="CE78" s="85"/>
      <c r="CF78" s="91"/>
      <c r="CG78" s="92"/>
      <c r="CH78" s="85"/>
      <c r="CI78" s="85"/>
      <c r="CJ78" s="91"/>
      <c r="CK78" s="92"/>
      <c r="CL78" s="85"/>
      <c r="CM78" s="85"/>
      <c r="CN78" s="91"/>
      <c r="CO78" s="92"/>
      <c r="CP78" s="85"/>
      <c r="CQ78" s="85"/>
      <c r="CR78" s="91"/>
      <c r="CS78" s="92"/>
      <c r="CT78" s="85"/>
      <c r="CU78" s="85"/>
      <c r="CV78" s="91"/>
      <c r="CW78" s="92"/>
      <c r="CX78" s="85"/>
      <c r="CY78" s="85"/>
      <c r="CZ78" s="91"/>
      <c r="DA78" s="92"/>
      <c r="DB78" s="85"/>
      <c r="DC78" s="85"/>
      <c r="DD78" s="91"/>
      <c r="DE78" s="92"/>
      <c r="DF78" s="85"/>
      <c r="DG78" s="85"/>
      <c r="DH78" s="91"/>
      <c r="DI78" s="92"/>
      <c r="DJ78" s="85"/>
      <c r="DK78" s="85"/>
      <c r="DL78" s="85"/>
      <c r="DM78" s="85"/>
      <c r="DN78" s="85"/>
      <c r="DO78" s="91"/>
      <c r="DP78" s="92"/>
      <c r="DQ78" s="85"/>
      <c r="DR78" s="85"/>
      <c r="DS78" s="91"/>
      <c r="DT78" s="92"/>
      <c r="DU78" s="85"/>
      <c r="DV78" s="85"/>
    </row>
    <row r="79" spans="1:177" ht="12.75" customHeight="1" x14ac:dyDescent="0.2">
      <c r="A79" s="74" t="s">
        <v>267</v>
      </c>
      <c r="E79" s="8"/>
      <c r="F79" s="120"/>
      <c r="I79" s="8"/>
      <c r="J79" s="120"/>
      <c r="M79" s="8"/>
      <c r="N79" s="120"/>
      <c r="Q79" s="8"/>
      <c r="R79" s="8"/>
      <c r="S79" s="120"/>
      <c r="V79" s="8"/>
      <c r="W79" s="120"/>
      <c r="Z79" s="8"/>
      <c r="AA79" s="120"/>
      <c r="AD79" s="8"/>
      <c r="AE79" s="120"/>
      <c r="AH79" s="8"/>
      <c r="AI79" s="120"/>
      <c r="AL79" s="8"/>
      <c r="AM79" s="120"/>
      <c r="AP79" s="8"/>
      <c r="AQ79" s="120"/>
      <c r="AT79" s="8"/>
      <c r="AU79" s="120"/>
      <c r="AX79" s="8"/>
      <c r="AY79" s="120"/>
      <c r="BB79" s="8"/>
      <c r="BC79" s="120"/>
      <c r="BF79" s="8"/>
      <c r="BG79" s="120"/>
      <c r="BJ79" s="8"/>
      <c r="BK79" s="120"/>
      <c r="BN79" s="8"/>
      <c r="BO79" s="120"/>
      <c r="BR79" s="8"/>
      <c r="BS79" s="120"/>
      <c r="BV79" s="120"/>
      <c r="BW79" s="120"/>
      <c r="BZ79" s="8"/>
      <c r="CA79" s="120"/>
      <c r="CD79" s="8"/>
      <c r="CE79" s="120"/>
      <c r="CH79" s="120"/>
      <c r="CI79" s="120"/>
      <c r="CL79" s="8"/>
      <c r="CM79" s="120"/>
      <c r="CP79" s="8"/>
      <c r="CQ79" s="120"/>
      <c r="CT79" s="8"/>
      <c r="CU79" s="120"/>
      <c r="CX79" s="8"/>
      <c r="CY79" s="120"/>
      <c r="DB79" s="8"/>
      <c r="DC79" s="120"/>
      <c r="DF79" s="8"/>
      <c r="DG79" s="120"/>
      <c r="DJ79" s="8"/>
      <c r="DK79" s="8"/>
      <c r="DL79" s="8"/>
      <c r="DM79" s="8"/>
      <c r="DN79" s="120"/>
      <c r="DQ79" s="8"/>
      <c r="DR79" s="120"/>
      <c r="DU79" s="8"/>
      <c r="DV79" s="120"/>
    </row>
    <row r="80" spans="1:177" ht="12.75" customHeight="1" x14ac:dyDescent="0.2">
      <c r="A80" s="74"/>
      <c r="E80" s="8"/>
      <c r="F80" s="120"/>
      <c r="I80" s="8"/>
      <c r="J80" s="120"/>
      <c r="M80" s="8"/>
      <c r="N80" s="120"/>
      <c r="Q80" s="8"/>
      <c r="R80" s="8"/>
      <c r="S80" s="120"/>
      <c r="V80" s="8"/>
      <c r="W80" s="120"/>
      <c r="Z80" s="8"/>
      <c r="AA80" s="120"/>
      <c r="AD80" s="8"/>
      <c r="AE80" s="120"/>
      <c r="AH80" s="8"/>
      <c r="AI80" s="120"/>
      <c r="AL80" s="8"/>
      <c r="AM80" s="120"/>
      <c r="AP80" s="8"/>
      <c r="AQ80" s="120"/>
      <c r="AT80" s="8"/>
      <c r="AU80" s="120"/>
      <c r="AX80" s="8"/>
      <c r="AY80" s="120"/>
      <c r="BB80" s="8"/>
      <c r="BC80" s="120"/>
      <c r="BF80" s="8"/>
      <c r="BG80" s="120"/>
      <c r="BJ80" s="8"/>
      <c r="BK80" s="120"/>
      <c r="BN80" s="8"/>
      <c r="BO80" s="120"/>
      <c r="BR80" s="8"/>
      <c r="BS80" s="120"/>
      <c r="BV80" s="120"/>
      <c r="BW80" s="120"/>
      <c r="BZ80" s="8"/>
      <c r="CA80" s="120"/>
      <c r="CD80" s="8"/>
      <c r="CE80" s="120"/>
      <c r="CH80" s="120"/>
      <c r="CI80" s="120"/>
      <c r="CL80" s="8"/>
      <c r="CM80" s="120"/>
      <c r="CP80" s="8"/>
      <c r="CQ80" s="120"/>
      <c r="CT80" s="8"/>
      <c r="CU80" s="120"/>
      <c r="CX80" s="8"/>
      <c r="CY80" s="120"/>
      <c r="DB80" s="8"/>
      <c r="DC80" s="120"/>
      <c r="DF80" s="8"/>
      <c r="DG80" s="120"/>
      <c r="DJ80" s="8"/>
      <c r="DK80" s="8"/>
      <c r="DL80" s="8"/>
      <c r="DM80" s="8"/>
      <c r="DN80" s="120"/>
      <c r="DQ80" s="8"/>
      <c r="DR80" s="120"/>
      <c r="DU80" s="8"/>
      <c r="DV80" s="120"/>
    </row>
    <row r="81" spans="1:232" s="27" customFormat="1" ht="12.75" customHeight="1" x14ac:dyDescent="0.25">
      <c r="A81" s="145" t="s">
        <v>268</v>
      </c>
      <c r="B81" s="146"/>
      <c r="C81" s="146"/>
      <c r="D81" s="92"/>
      <c r="E81" s="146"/>
      <c r="F81" s="146"/>
      <c r="G81" s="146"/>
      <c r="H81" s="92"/>
      <c r="I81" s="146"/>
      <c r="J81" s="146"/>
      <c r="K81" s="146"/>
      <c r="L81" s="92"/>
      <c r="M81" s="146"/>
      <c r="N81" s="146"/>
      <c r="O81" s="146"/>
      <c r="P81" s="92"/>
      <c r="Q81" s="146"/>
      <c r="R81" s="24"/>
      <c r="S81" s="146"/>
      <c r="T81" s="146"/>
      <c r="U81" s="92"/>
      <c r="V81" s="207"/>
      <c r="W81" s="146"/>
      <c r="X81" s="146"/>
      <c r="Y81" s="92"/>
      <c r="Z81" s="146"/>
      <c r="AA81" s="146"/>
      <c r="AB81" s="146"/>
      <c r="AC81" s="92"/>
      <c r="AD81" s="146"/>
      <c r="AE81" s="146"/>
      <c r="AF81" s="146"/>
      <c r="AG81" s="92"/>
      <c r="AH81" s="146"/>
      <c r="AI81" s="146"/>
      <c r="AJ81" s="146"/>
      <c r="AK81" s="92"/>
      <c r="AL81" s="146"/>
      <c r="AM81" s="146"/>
      <c r="AN81" s="146"/>
      <c r="AO81" s="92"/>
      <c r="AP81" s="146"/>
      <c r="AQ81" s="146"/>
      <c r="AR81" s="146"/>
      <c r="AS81" s="92"/>
      <c r="AT81" s="146"/>
      <c r="AU81" s="146"/>
      <c r="AV81" s="146"/>
      <c r="AW81" s="92"/>
      <c r="AX81" s="146"/>
      <c r="AY81" s="146"/>
      <c r="AZ81" s="146"/>
      <c r="BA81" s="92"/>
      <c r="BB81" s="146"/>
      <c r="BC81" s="146"/>
      <c r="BD81" s="146"/>
      <c r="BE81" s="92"/>
      <c r="BF81" s="146"/>
      <c r="BG81" s="146"/>
      <c r="BH81" s="146"/>
      <c r="BI81" s="92"/>
      <c r="BJ81" s="146"/>
      <c r="BK81" s="146"/>
      <c r="BL81" s="146"/>
      <c r="BM81" s="92"/>
      <c r="BN81" s="146"/>
      <c r="BO81" s="146"/>
      <c r="BP81" s="146"/>
      <c r="BQ81" s="92"/>
      <c r="BR81" s="146"/>
      <c r="BS81" s="146"/>
      <c r="BT81" s="146"/>
      <c r="BU81" s="92"/>
      <c r="BV81" s="146"/>
      <c r="BW81" s="146"/>
      <c r="BX81" s="146"/>
      <c r="BY81" s="92"/>
      <c r="BZ81" s="146"/>
      <c r="CA81" s="146"/>
      <c r="CB81" s="146"/>
      <c r="CC81" s="92"/>
      <c r="CD81" s="146"/>
      <c r="CE81" s="146"/>
      <c r="CF81" s="146"/>
      <c r="CG81" s="92"/>
      <c r="CH81" s="146"/>
      <c r="CI81" s="146"/>
      <c r="CJ81" s="146"/>
      <c r="CK81" s="92"/>
      <c r="CL81" s="146"/>
      <c r="CM81" s="146"/>
      <c r="CN81" s="146"/>
      <c r="CO81" s="92"/>
      <c r="CP81" s="146"/>
      <c r="CQ81" s="146"/>
      <c r="CR81" s="146"/>
      <c r="CS81" s="92"/>
      <c r="CT81" s="146"/>
      <c r="CU81" s="146"/>
      <c r="CV81" s="146"/>
      <c r="CW81" s="92"/>
      <c r="CX81" s="146"/>
      <c r="CY81" s="146"/>
      <c r="CZ81" s="146"/>
      <c r="DA81" s="92"/>
      <c r="DB81" s="146"/>
      <c r="DC81" s="146"/>
      <c r="DD81" s="146"/>
      <c r="DE81" s="92"/>
      <c r="DF81" s="146"/>
      <c r="DG81" s="146"/>
      <c r="DH81" s="146"/>
      <c r="DI81" s="92"/>
      <c r="DJ81" s="146"/>
      <c r="DK81" s="146"/>
      <c r="DL81" s="146"/>
      <c r="DM81" s="146"/>
      <c r="DN81" s="146"/>
      <c r="DO81" s="146"/>
      <c r="DP81" s="92"/>
      <c r="DQ81" s="146"/>
      <c r="DR81" s="146"/>
      <c r="DS81" s="146"/>
      <c r="DT81" s="92"/>
      <c r="DU81" s="146"/>
      <c r="DV81" s="146"/>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row>
    <row r="82" spans="1:232" ht="12.75" customHeight="1" x14ac:dyDescent="0.2">
      <c r="A82" s="148" t="s">
        <v>269</v>
      </c>
      <c r="B82" s="148"/>
      <c r="C82" s="91"/>
      <c r="D82" s="92"/>
      <c r="E82" s="85"/>
      <c r="F82" s="85"/>
      <c r="G82" s="91"/>
      <c r="H82" s="92"/>
      <c r="I82" s="85"/>
      <c r="J82" s="85"/>
      <c r="K82" s="91"/>
      <c r="L82" s="92"/>
      <c r="M82" s="85"/>
      <c r="N82" s="85"/>
      <c r="O82" s="91"/>
      <c r="P82" s="92"/>
      <c r="Q82" s="85"/>
      <c r="S82" s="85"/>
      <c r="T82" s="91"/>
      <c r="U82" s="92"/>
      <c r="V82" s="84"/>
      <c r="W82" s="85"/>
      <c r="X82" s="91"/>
      <c r="Y82" s="92"/>
      <c r="Z82" s="85"/>
      <c r="AA82" s="85"/>
      <c r="AB82" s="91"/>
      <c r="AC82" s="92"/>
      <c r="AD82" s="85"/>
      <c r="AE82" s="85"/>
      <c r="AF82" s="91"/>
      <c r="AG82" s="92"/>
      <c r="AH82" s="85"/>
      <c r="AI82" s="85"/>
      <c r="AJ82" s="91"/>
      <c r="AK82" s="92"/>
      <c r="AL82" s="85"/>
      <c r="AM82" s="85"/>
      <c r="AN82" s="91"/>
      <c r="AO82" s="92"/>
      <c r="AP82" s="85"/>
      <c r="AQ82" s="85"/>
      <c r="AR82" s="91"/>
      <c r="AS82" s="92"/>
      <c r="AT82" s="85"/>
      <c r="AU82" s="85"/>
      <c r="AV82" s="91"/>
      <c r="AW82" s="92"/>
      <c r="AX82" s="85"/>
      <c r="AY82" s="85"/>
      <c r="AZ82" s="91"/>
      <c r="BA82" s="92"/>
      <c r="BB82" s="85"/>
      <c r="BC82" s="85"/>
      <c r="BD82" s="91"/>
      <c r="BE82" s="92"/>
      <c r="BF82" s="85"/>
      <c r="BG82" s="85"/>
      <c r="BH82" s="91"/>
      <c r="BI82" s="92"/>
      <c r="BJ82" s="85"/>
      <c r="BK82" s="85"/>
      <c r="BL82" s="91"/>
      <c r="BM82" s="92"/>
      <c r="BN82" s="85"/>
      <c r="BO82" s="85"/>
      <c r="BP82" s="91"/>
      <c r="BQ82" s="92"/>
      <c r="BR82" s="85"/>
      <c r="BS82" s="85"/>
      <c r="BT82" s="91"/>
      <c r="BU82" s="92"/>
      <c r="BV82" s="85"/>
      <c r="BW82" s="85"/>
      <c r="BX82" s="91"/>
      <c r="BY82" s="92"/>
      <c r="BZ82" s="85"/>
      <c r="CA82" s="85"/>
      <c r="CB82" s="91"/>
      <c r="CC82" s="92"/>
      <c r="CD82" s="85"/>
      <c r="CE82" s="85"/>
      <c r="CF82" s="91"/>
      <c r="CG82" s="92"/>
      <c r="CH82" s="85"/>
      <c r="CI82" s="85"/>
      <c r="CJ82" s="91"/>
      <c r="CK82" s="92"/>
      <c r="CL82" s="85"/>
      <c r="CM82" s="85"/>
      <c r="CN82" s="91"/>
      <c r="CO82" s="92"/>
      <c r="CP82" s="85"/>
      <c r="CQ82" s="85"/>
      <c r="CR82" s="91"/>
      <c r="CS82" s="92"/>
      <c r="CT82" s="85"/>
      <c r="CU82" s="85"/>
      <c r="CV82" s="91"/>
      <c r="CW82" s="92"/>
      <c r="CX82" s="85"/>
      <c r="CY82" s="85"/>
      <c r="CZ82" s="91"/>
      <c r="DA82" s="92"/>
      <c r="DB82" s="85"/>
      <c r="DC82" s="85"/>
      <c r="DD82" s="91"/>
      <c r="DE82" s="92"/>
      <c r="DF82" s="85"/>
      <c r="DG82" s="85"/>
      <c r="DH82" s="91"/>
      <c r="DI82" s="92"/>
      <c r="DJ82" s="85"/>
      <c r="DK82" s="85"/>
      <c r="DL82" s="85"/>
      <c r="DM82" s="85"/>
      <c r="DN82" s="85"/>
      <c r="DO82" s="91"/>
      <c r="DP82" s="92"/>
      <c r="DQ82" s="85"/>
      <c r="DR82" s="85"/>
      <c r="DS82" s="91"/>
      <c r="DT82" s="92"/>
      <c r="DU82" s="85"/>
      <c r="DV82" s="85"/>
    </row>
    <row r="83" spans="1:232" ht="12.75" customHeight="1" x14ac:dyDescent="0.2">
      <c r="B83" s="149" t="s">
        <v>270</v>
      </c>
      <c r="E83" s="130">
        <f>(E24/E120)/E$142</f>
        <v>-6.213185425739557E-2</v>
      </c>
      <c r="F83" s="150"/>
      <c r="I83" s="130">
        <f>(I24/I120)/I$142</f>
        <v>1.2439437966894622E-5</v>
      </c>
      <c r="J83" s="150"/>
      <c r="M83" s="130">
        <f>(M24/M120)/M$142</f>
        <v>1.7797308592566351E-2</v>
      </c>
      <c r="N83" s="150"/>
      <c r="Q83" s="130">
        <f>(Q24/Q120)/Q$142</f>
        <v>-3.9395988684539198E-3</v>
      </c>
      <c r="R83" s="130">
        <f>(R24/R120)/R$142</f>
        <v>2.1391539114067142E-2</v>
      </c>
      <c r="S83" s="150"/>
      <c r="V83" s="130">
        <f>(V24/V120)/V$142</f>
        <v>2.5887318911328349E-2</v>
      </c>
      <c r="W83" s="150"/>
      <c r="Z83" s="130">
        <f>(Z24/Z120)/Z$142</f>
        <v>1.987562408685151E-2</v>
      </c>
      <c r="AA83" s="150"/>
      <c r="AD83" s="130">
        <f>(AD24/AD120)/AD$142</f>
        <v>1.7775085962559077E-2</v>
      </c>
      <c r="AE83" s="150"/>
      <c r="AH83" s="130">
        <f>(AH24/AH120)/AH$142</f>
        <v>1.3748141585831051E-2</v>
      </c>
      <c r="AI83" s="150"/>
      <c r="AL83" s="130">
        <f>(AL24/AL120)/AL$142</f>
        <v>0</v>
      </c>
      <c r="AM83" s="150"/>
      <c r="AP83" s="130">
        <f>(AP24/AP120)/AP$142</f>
        <v>2.2914430684279983E-2</v>
      </c>
      <c r="AQ83" s="150"/>
      <c r="AT83" s="130">
        <f>(AT24/AT120)/AT$142</f>
        <v>7.6880167034245106E-2</v>
      </c>
      <c r="AU83" s="150"/>
      <c r="AX83" s="130">
        <f>(AX24/AX120)/AX$142</f>
        <v>1.0659855617005108E-2</v>
      </c>
      <c r="AY83" s="150"/>
      <c r="BB83" s="130">
        <f>(BB24/BB120)/BB$142</f>
        <v>-1.2998458072817607E-2</v>
      </c>
      <c r="BC83" s="150"/>
      <c r="BF83" s="130" t="e">
        <f>(BF24/BF120)/BF$142</f>
        <v>#DIV/0!</v>
      </c>
      <c r="BG83" s="150"/>
      <c r="BJ83" s="130">
        <f>(BJ24/BJ120)/BJ$142</f>
        <v>8.4833378404218463E-4</v>
      </c>
      <c r="BK83" s="150"/>
      <c r="BN83" s="130">
        <f>(BN24/BN120)/BN$142</f>
        <v>-1.5382804692676996E-2</v>
      </c>
      <c r="BO83" s="150"/>
      <c r="BR83" s="130">
        <f>(BR24/BR120)/BR$142</f>
        <v>2.9520405810526694E-2</v>
      </c>
      <c r="BS83" s="150"/>
      <c r="BV83" s="130">
        <f>(BV24/BV120)/BV$142</f>
        <v>1.1521905899206655E-3</v>
      </c>
      <c r="BW83" s="150"/>
      <c r="BZ83" s="130">
        <f>(BZ24/BZ120)/BZ$142</f>
        <v>9.6472255136138222E-3</v>
      </c>
      <c r="CA83" s="150"/>
      <c r="CD83" s="130">
        <f>(CD24/CD120)/CD$142</f>
        <v>2.5853369964455229E-2</v>
      </c>
      <c r="CE83" s="150"/>
      <c r="CH83" s="130"/>
      <c r="CI83" s="150"/>
      <c r="CL83" s="130">
        <f>(CL24/CL120)/CL$142</f>
        <v>8.9096056467162892E-3</v>
      </c>
      <c r="CM83" s="150"/>
      <c r="CP83" s="130">
        <f>(CP24/CP120)/CP$142</f>
        <v>2.1968252997039799E-2</v>
      </c>
      <c r="CQ83" s="150"/>
      <c r="CT83" s="130">
        <f>(CT24/CT120)/CT$142</f>
        <v>-5.517811237605582E-3</v>
      </c>
      <c r="CU83" s="150"/>
      <c r="CX83" s="130">
        <f>(CX24/CX120)/CX$142</f>
        <v>3.3352479270347055E-2</v>
      </c>
      <c r="CY83" s="130"/>
      <c r="DB83" s="130" t="e">
        <f>(DB24/DB120)/DB$142</f>
        <v>#DIV/0!</v>
      </c>
      <c r="DC83" s="150"/>
      <c r="DF83" s="130">
        <f>(DF24/DF120)/DF$142</f>
        <v>6.762671279409431E-2</v>
      </c>
      <c r="DG83" s="150"/>
      <c r="DJ83" s="130">
        <f>(DJ24/DJ120)/DJ$142</f>
        <v>2.0371347508076553E-4</v>
      </c>
      <c r="DK83" s="130">
        <f>(DK24/DK120)/DK$142</f>
        <v>7.2768691688036044E-4</v>
      </c>
      <c r="DL83" s="130">
        <f>(DL24/DL120)/DL$142</f>
        <v>0</v>
      </c>
      <c r="DM83" s="130">
        <f>(DM24/DM120)/DM$142</f>
        <v>5.7039138161706767E-3</v>
      </c>
      <c r="DN83" s="150"/>
      <c r="DQ83" s="130">
        <f>(DQ24/DQ120)/DQ$142</f>
        <v>2.5930748741651754E-2</v>
      </c>
      <c r="DR83" s="150"/>
      <c r="DU83" s="130">
        <f>(DU24/DU120)/DU$142</f>
        <v>1.1637411424408033E-2</v>
      </c>
      <c r="DV83" s="150"/>
    </row>
    <row r="84" spans="1:232" ht="12.75" customHeight="1" x14ac:dyDescent="0.2">
      <c r="B84" s="155" t="s">
        <v>271</v>
      </c>
      <c r="E84" s="130">
        <f>(E24/E123)/E$142</f>
        <v>-0.82707248571971659</v>
      </c>
      <c r="F84" s="150"/>
      <c r="I84" s="130">
        <f>(I24/I123)/I$142</f>
        <v>0.46484914576522079</v>
      </c>
      <c r="J84" s="150"/>
      <c r="M84" s="130">
        <f>(M24/M123)/M$142</f>
        <v>0.17335633724494889</v>
      </c>
      <c r="N84" s="150"/>
      <c r="Q84" s="130">
        <f>(Q24/Q123)/Q$142</f>
        <v>-6.0210119083193278E-2</v>
      </c>
      <c r="R84" s="130">
        <f>(R24/R123)/R$142</f>
        <v>0.31189361995050541</v>
      </c>
      <c r="S84" s="150"/>
      <c r="V84" s="130">
        <f>(V24/V123)/V$142</f>
        <v>0.34447300771208228</v>
      </c>
      <c r="W84" s="150"/>
      <c r="Z84" s="130">
        <f>(Z24/Z123)/Z$142</f>
        <v>0.16188401877524386</v>
      </c>
      <c r="AA84" s="150"/>
      <c r="AD84" s="130">
        <f>(AD24/AD123)/AD$142</f>
        <v>0.12410176351188987</v>
      </c>
      <c r="AE84" s="150"/>
      <c r="AH84" s="130">
        <f>(AH24/AH123)/AH$142</f>
        <v>0.19646795400595971</v>
      </c>
      <c r="AI84" s="150"/>
      <c r="AL84" s="130">
        <f>(AL24/AL123)/AL$142</f>
        <v>0</v>
      </c>
      <c r="AM84" s="150"/>
      <c r="AP84" s="130">
        <f>(AP24/AP123)/AP$142</f>
        <v>0.31424132522702286</v>
      </c>
      <c r="AQ84" s="150"/>
      <c r="AT84" s="130">
        <f>(AT24/AT123)/AT$142</f>
        <v>0.69858513979570291</v>
      </c>
      <c r="AU84" s="150"/>
      <c r="AX84" s="130">
        <f>(AX24/AX123)/AX$142</f>
        <v>0.11397747534249666</v>
      </c>
      <c r="AY84" s="150"/>
      <c r="BB84" s="130">
        <f>(BB24/BB123)/BB$142</f>
        <v>-2.228583111838071E-2</v>
      </c>
      <c r="BC84" s="150"/>
      <c r="BF84" s="130" t="e">
        <f>(BF24/BF123)/BF$142</f>
        <v>#DIV/0!</v>
      </c>
      <c r="BG84" s="150"/>
      <c r="BJ84" s="130">
        <f>(BJ24/BJ123)/BJ$142</f>
        <v>1.2690217391304215</v>
      </c>
      <c r="BK84" s="150"/>
      <c r="BN84" s="130">
        <f>(BN24/BN123)/BN$142</f>
        <v>-8.5454614618930058E-2</v>
      </c>
      <c r="BO84" s="150"/>
      <c r="BR84" s="130">
        <f>(BR24/BR123)/BR$142</f>
        <v>0.22337184950232358</v>
      </c>
      <c r="BS84" s="150"/>
      <c r="BV84" s="130">
        <f>(BV24/BV123)/BV$142</f>
        <v>8.5089957489830788E-3</v>
      </c>
      <c r="BW84" s="150"/>
      <c r="BZ84" s="130">
        <f>(BZ24/BZ123)/BZ$142</f>
        <v>0.10148521381275226</v>
      </c>
      <c r="CA84" s="150"/>
      <c r="CD84" s="130">
        <f>(CD24/CD123)/CD$142</f>
        <v>0.34168398764548075</v>
      </c>
      <c r="CE84" s="150"/>
      <c r="CH84" s="130"/>
      <c r="CI84" s="150"/>
      <c r="CL84" s="130">
        <f>(CL24/CL123)/CL$142</f>
        <v>0.13957797672238456</v>
      </c>
      <c r="CM84" s="150"/>
      <c r="CP84" s="130">
        <f>(CP24/CP123)/CP$142</f>
        <v>0.24088265554631944</v>
      </c>
      <c r="CQ84" s="150"/>
      <c r="CT84" s="130">
        <f>(CT24/CT123)/CT$142</f>
        <v>-0.11844698462751281</v>
      </c>
      <c r="CU84" s="150"/>
      <c r="CX84" s="130">
        <f>(CX24/CX123)/CX$142</f>
        <v>9.311736533390734E-2</v>
      </c>
      <c r="CY84" s="130"/>
      <c r="DB84" s="130" t="e">
        <f>(DB24/DB123)/DB$142</f>
        <v>#DIV/0!</v>
      </c>
      <c r="DC84" s="150"/>
      <c r="DF84" s="130">
        <f>(DF24/DF123)/DF$142</f>
        <v>0.45355752870637189</v>
      </c>
      <c r="DG84" s="150"/>
      <c r="DJ84" s="130">
        <f>(DJ24/DJ123)/DJ$142</f>
        <v>3.1751791047277237E-3</v>
      </c>
      <c r="DK84" s="130">
        <f>(DK24/DK123)/DK$142</f>
        <v>1.1051093366734512E-2</v>
      </c>
      <c r="DL84" s="130">
        <f>(DL24/DL123)/DL$142</f>
        <v>0</v>
      </c>
      <c r="DM84" s="130">
        <f>(DM24/DM123)/DM$142</f>
        <v>7.2333723943952877E-2</v>
      </c>
      <c r="DN84" s="150"/>
      <c r="DQ84" s="130">
        <f>(DQ24/DQ123)/DQ$142</f>
        <v>0.24388428229224371</v>
      </c>
      <c r="DR84" s="150"/>
      <c r="DU84" s="130">
        <f>(DU24/DU123)/DU$142</f>
        <v>7.5725718443642134E-2</v>
      </c>
      <c r="DV84" s="150"/>
    </row>
    <row r="85" spans="1:232" ht="12.75" customHeight="1" x14ac:dyDescent="0.2">
      <c r="B85" s="156" t="s">
        <v>8</v>
      </c>
      <c r="E85" s="130">
        <f>(E7-E8)/E120</f>
        <v>4.1428260105599145E-3</v>
      </c>
      <c r="F85" s="150"/>
      <c r="I85" s="130">
        <f>(I7-I8)/I120</f>
        <v>1.9217511454015223E-5</v>
      </c>
      <c r="J85" s="150"/>
      <c r="M85" s="130">
        <f>(M7-M8)/M120</f>
        <v>5.3863280718216111E-2</v>
      </c>
      <c r="N85" s="150"/>
      <c r="Q85" s="130">
        <f>(Q7-Q8)/Q120</f>
        <v>3.8592748750392934E-3</v>
      </c>
      <c r="R85" s="130">
        <f>(R7-R8)/R120</f>
        <v>2.2730333504110089E-2</v>
      </c>
      <c r="S85" s="150"/>
      <c r="V85" s="130">
        <f>(V7-V8)/V120</f>
        <v>9.7392156944207858E-2</v>
      </c>
      <c r="W85" s="150"/>
      <c r="Z85" s="130">
        <f>(Z7-Z8)/Z120</f>
        <v>3.0785013043826685E-2</v>
      </c>
      <c r="AA85" s="150"/>
      <c r="AD85" s="130">
        <f>(AD7-AD8)/AD120</f>
        <v>0.10811950185343977</v>
      </c>
      <c r="AE85" s="150"/>
      <c r="AH85" s="130">
        <f>(AH7-AH8)/AH120</f>
        <v>1.0711062836193308E-2</v>
      </c>
      <c r="AI85" s="150"/>
      <c r="AL85" s="130">
        <f>(AL7-AL8)/AL120</f>
        <v>0</v>
      </c>
      <c r="AM85" s="150"/>
      <c r="AP85" s="130">
        <f>(AP7-AP8)/AP120</f>
        <v>3.3468499869084171E-2</v>
      </c>
      <c r="AQ85" s="150"/>
      <c r="AT85" s="130">
        <f>(AT7-AT8)/AT120</f>
        <v>8.2298012263832335E-2</v>
      </c>
      <c r="AU85" s="150"/>
      <c r="AX85" s="130">
        <f>(AX7-AX8)/AX120</f>
        <v>3.6530586397602059E-2</v>
      </c>
      <c r="AY85" s="150"/>
      <c r="BB85" s="130">
        <f>(BB7-BB8)/BB120</f>
        <v>6.3052061805879356E-2</v>
      </c>
      <c r="BC85" s="150"/>
      <c r="BF85" s="130" t="e">
        <f>(BF7-BF8)/BF120</f>
        <v>#DIV/0!</v>
      </c>
      <c r="BG85" s="150"/>
      <c r="BJ85" s="130">
        <f>(BJ7-BJ8)/BJ120</f>
        <v>5.5707857338959102E-3</v>
      </c>
      <c r="BK85" s="150"/>
      <c r="BN85" s="130">
        <f>(BN7-BN8)/BN120</f>
        <v>8.3487822849801968E-2</v>
      </c>
      <c r="BO85" s="150"/>
      <c r="BR85" s="130">
        <f>(BR7-BR8)/BR120</f>
        <v>4.2960821450908952E-2</v>
      </c>
      <c r="BS85" s="150"/>
      <c r="BV85" s="130">
        <f>(BV7-BV8)/BV120</f>
        <v>2.7862063356263369E-2</v>
      </c>
      <c r="BW85" s="150"/>
      <c r="BZ85" s="130">
        <f>(BZ7-BZ8)/BZ120</f>
        <v>2.5511106095657245E-2</v>
      </c>
      <c r="CA85" s="150"/>
      <c r="CD85" s="130">
        <f>(CD7-CD8)/CD120</f>
        <v>2.8702679828687162E-2</v>
      </c>
      <c r="CE85" s="150"/>
      <c r="CH85" s="130" t="e">
        <f>(CH7-CH8)/CH120</f>
        <v>#DIV/0!</v>
      </c>
      <c r="CI85" s="150"/>
      <c r="CL85" s="130">
        <f>(CL7-CL8)/CL120</f>
        <v>6.8317008388187245E-2</v>
      </c>
      <c r="CM85" s="150"/>
      <c r="CP85" s="130">
        <f>(CP7-CP8)/CP120</f>
        <v>5.0757741242431945E-2</v>
      </c>
      <c r="CQ85" s="150"/>
      <c r="CT85" s="130">
        <f>(CT7-CT8)/CT120</f>
        <v>1.6310135879544621E-2</v>
      </c>
      <c r="CU85" s="150"/>
      <c r="CX85" s="130">
        <f>(CX7-CX8)/CX120</f>
        <v>1.5558322507526666E-2</v>
      </c>
      <c r="CY85" s="130"/>
      <c r="DB85" s="130" t="e">
        <f>(DB7-DB8)/DB120</f>
        <v>#DIV/0!</v>
      </c>
      <c r="DC85" s="150"/>
      <c r="DF85" s="130">
        <f>(DF7-DF8)/DF120</f>
        <v>5.9805281699159607E-2</v>
      </c>
      <c r="DG85" s="150"/>
      <c r="DJ85" s="130">
        <f>(DJ7-DJ8)/DJ120</f>
        <v>7.1372638036213323E-3</v>
      </c>
      <c r="DK85" s="130">
        <f>(DK7-DK8)/DK120</f>
        <v>4.5629587599214524E-5</v>
      </c>
      <c r="DL85" s="130">
        <f>(DL7-DL8)/DL120</f>
        <v>0</v>
      </c>
      <c r="DM85" s="130">
        <f>(DM7-DM8)/DM120</f>
        <v>9.1255156239237519E-3</v>
      </c>
      <c r="DN85" s="150"/>
      <c r="DQ85" s="130">
        <f>(DQ7-DQ8)/DQ120</f>
        <v>-6.1579748719219153E-2</v>
      </c>
      <c r="DR85" s="150"/>
      <c r="DU85" s="130">
        <f>(DU7-DU8)/DU120</f>
        <v>2.2852150443116434E-2</v>
      </c>
      <c r="DV85" s="150"/>
    </row>
    <row r="86" spans="1:232" ht="12.75" customHeight="1" x14ac:dyDescent="0.2">
      <c r="B86" s="157" t="s">
        <v>380</v>
      </c>
      <c r="E86" s="130">
        <f>E7/E121</f>
        <v>4.1157018120010339E-2</v>
      </c>
      <c r="F86" s="130" t="e">
        <f>F7/F121</f>
        <v>#DIV/0!</v>
      </c>
      <c r="G86" s="130">
        <f>G7/G121</f>
        <v>0</v>
      </c>
      <c r="H86" s="131"/>
      <c r="I86" s="130">
        <f>I7/I121</f>
        <v>5.891720694982077E-2</v>
      </c>
      <c r="J86" s="130">
        <f>J7/J121</f>
        <v>5.592428711897738E-2</v>
      </c>
      <c r="K86" s="130">
        <f>K7/K121</f>
        <v>0</v>
      </c>
      <c r="L86" s="131"/>
      <c r="M86" s="130">
        <f>M7/M121</f>
        <v>0.32689022829350028</v>
      </c>
      <c r="N86" s="130">
        <f>N7/N121</f>
        <v>0.34132484835667665</v>
      </c>
      <c r="O86" s="130">
        <f>O7/O121</f>
        <v>0</v>
      </c>
      <c r="P86" s="131"/>
      <c r="Q86" s="130">
        <f>Q7/Q121</f>
        <v>4.3821276853265104E-2</v>
      </c>
      <c r="R86" s="130">
        <f>R7/R121</f>
        <v>5.0846651467060598E-2</v>
      </c>
      <c r="S86" s="130">
        <f>S7/S121</f>
        <v>0.10512454485898802</v>
      </c>
      <c r="T86" s="130">
        <f>T7/T121</f>
        <v>0</v>
      </c>
      <c r="U86" s="131"/>
      <c r="V86" s="130">
        <f>V7/V121</f>
        <v>0.22430708854549913</v>
      </c>
      <c r="W86" s="130">
        <f>W7/W121</f>
        <v>0.10329509458726133</v>
      </c>
      <c r="X86" s="130">
        <f>X7/X121</f>
        <v>0</v>
      </c>
      <c r="Y86" s="131"/>
      <c r="Z86" s="130">
        <f>Z7/Z121</f>
        <v>8.2937471942784807E-2</v>
      </c>
      <c r="AA86" s="130">
        <f>AA7/AA121</f>
        <v>9.2735264861072281E-2</v>
      </c>
      <c r="AB86" s="130">
        <f>AB7/AB121</f>
        <v>0</v>
      </c>
      <c r="AC86" s="131"/>
      <c r="AD86" s="130">
        <f>AD7/AD121</f>
        <v>0.18852715959215796</v>
      </c>
      <c r="AE86" s="130">
        <f>AE7/AE121</f>
        <v>0.18147749563215398</v>
      </c>
      <c r="AF86" s="130">
        <f>AF7/AF121</f>
        <v>0</v>
      </c>
      <c r="AG86" s="131"/>
      <c r="AH86" s="130">
        <f>AH7/AH121</f>
        <v>0.17977401698572879</v>
      </c>
      <c r="AI86" s="130">
        <f>AI7/AI121</f>
        <v>0.16566554607840414</v>
      </c>
      <c r="AJ86" s="130">
        <f>AJ7/AJ121</f>
        <v>0</v>
      </c>
      <c r="AK86" s="131"/>
      <c r="AL86" s="130">
        <f>AL7/AL121</f>
        <v>0</v>
      </c>
      <c r="AM86" s="130" t="e">
        <f>AM7/AM121</f>
        <v>#DIV/0!</v>
      </c>
      <c r="AN86" s="130">
        <f>AN7/AN121</f>
        <v>0</v>
      </c>
      <c r="AO86" s="131"/>
      <c r="AP86" s="130">
        <f>AP7/AP121</f>
        <v>0.11789303856697325</v>
      </c>
      <c r="AQ86" s="130">
        <f>AQ7/AQ121</f>
        <v>7.8394616169311523E-2</v>
      </c>
      <c r="AR86" s="130">
        <f>AR7/AR121</f>
        <v>0</v>
      </c>
      <c r="AS86" s="131"/>
      <c r="AT86" s="130">
        <f>AT7/AT121</f>
        <v>0.16398713868932563</v>
      </c>
      <c r="AU86" s="130">
        <f>AU7/AU121</f>
        <v>0.1389939764714179</v>
      </c>
      <c r="AV86" s="130">
        <f>AV7/AV121</f>
        <v>0</v>
      </c>
      <c r="AW86" s="131"/>
      <c r="AX86" s="130">
        <f>AX7/AX121</f>
        <v>9.8796028377264963E-2</v>
      </c>
      <c r="AY86" s="130">
        <f>AY7/AY121</f>
        <v>0.10368804399887691</v>
      </c>
      <c r="AZ86" s="130">
        <f>AZ7/AZ121</f>
        <v>0</v>
      </c>
      <c r="BA86" s="131"/>
      <c r="BB86" s="130">
        <f>BB7/BB121</f>
        <v>9.5836597943720431E-2</v>
      </c>
      <c r="BC86" s="130" t="e">
        <f>BC7/BC121</f>
        <v>#DIV/0!</v>
      </c>
      <c r="BD86" s="130" t="e">
        <f>BD7/BD121</f>
        <v>#DIV/0!</v>
      </c>
      <c r="BE86" s="131"/>
      <c r="BF86" s="130" t="e">
        <f>BF7/BF121</f>
        <v>#DIV/0!</v>
      </c>
      <c r="BG86" s="130" t="e">
        <f>BG7/BG121</f>
        <v>#DIV/0!</v>
      </c>
      <c r="BH86" s="130">
        <f>BH7/BH121</f>
        <v>0</v>
      </c>
      <c r="BI86" s="131"/>
      <c r="BJ86" s="130">
        <f>BJ7/BJ121</f>
        <v>6.7324265633898123E-2</v>
      </c>
      <c r="BK86" s="130">
        <f>BK7/BK121</f>
        <v>5.4857572249566673E-2</v>
      </c>
      <c r="BL86" s="130">
        <f>BL7/BL121</f>
        <v>0</v>
      </c>
      <c r="BM86" s="131"/>
      <c r="BN86" s="130">
        <f>BN7/BN121</f>
        <v>0.20628321715729442</v>
      </c>
      <c r="BO86" s="130">
        <f>BO7/BO121</f>
        <v>0.25239860567259614</v>
      </c>
      <c r="BP86" s="130">
        <f>BP7/BP121</f>
        <v>0</v>
      </c>
      <c r="BQ86" s="131"/>
      <c r="BR86" s="130">
        <f>BR7/BR121</f>
        <v>6.90860334660265E-2</v>
      </c>
      <c r="BS86" s="130">
        <f>BS7/BS121</f>
        <v>7.1411361790038194E-2</v>
      </c>
      <c r="BT86" s="130"/>
      <c r="BU86" s="131"/>
      <c r="BV86" s="130">
        <f>BV7/BV121</f>
        <v>8.5142145966291494E-2</v>
      </c>
      <c r="BW86" s="130"/>
      <c r="BX86" s="130">
        <f>BX7/BX121</f>
        <v>0</v>
      </c>
      <c r="BY86" s="131"/>
      <c r="BZ86" s="130">
        <f>BZ7/BZ121</f>
        <v>9.4524108130200554E-2</v>
      </c>
      <c r="CA86" s="130">
        <f>CA7/CA121</f>
        <v>0.10371375989603941</v>
      </c>
      <c r="CB86" s="130">
        <f>CB7/CB121</f>
        <v>0</v>
      </c>
      <c r="CC86" s="131"/>
      <c r="CD86" s="130">
        <f>CD7/CD121</f>
        <v>0.12301926187198073</v>
      </c>
      <c r="CE86" s="130">
        <f>CE7/CE121</f>
        <v>0.11628017952487527</v>
      </c>
      <c r="CF86" s="130" t="e">
        <f>CF7/CF121</f>
        <v>#DIV/0!</v>
      </c>
      <c r="CG86" s="131"/>
      <c r="CH86" s="130" t="e">
        <f>CH7/CH121</f>
        <v>#DIV/0!</v>
      </c>
      <c r="CI86" s="130" t="e">
        <f>CI7/CI121</f>
        <v>#DIV/0!</v>
      </c>
      <c r="CJ86" s="130">
        <f>CJ7/CJ121</f>
        <v>0</v>
      </c>
      <c r="CK86" s="131"/>
      <c r="CL86" s="130">
        <f>CL7/CL121</f>
        <v>7.8207969081978954E-2</v>
      </c>
      <c r="CM86" s="130">
        <f>CM7/CM121</f>
        <v>7.4566321017967258E-2</v>
      </c>
      <c r="CN86" s="130">
        <f>CN7/CN121</f>
        <v>0</v>
      </c>
      <c r="CO86" s="131"/>
      <c r="CP86" s="130">
        <f>CP7/CP121</f>
        <v>0.11643126591036049</v>
      </c>
      <c r="CQ86" s="130">
        <f>CQ7/CQ121</f>
        <v>0.11877759261290195</v>
      </c>
      <c r="CR86" s="130">
        <f>CR7/CR121</f>
        <v>0</v>
      </c>
      <c r="CS86" s="131"/>
      <c r="CT86" s="130">
        <f>CT7/CT121</f>
        <v>0.11410147691719945</v>
      </c>
      <c r="CU86" s="130">
        <f>CU7/CU121</f>
        <v>9.6899781118805844E-2</v>
      </c>
      <c r="CV86" s="130">
        <f>CV7/CV121</f>
        <v>0</v>
      </c>
      <c r="CW86" s="131"/>
      <c r="CX86" s="130">
        <f>CX7/CX121</f>
        <v>0.16041203530473444</v>
      </c>
      <c r="CY86" s="130">
        <f>CY7/CY121</f>
        <v>7.8863459221993906E-2</v>
      </c>
      <c r="CZ86" s="130" t="e">
        <f>CZ7/CZ121</f>
        <v>#DIV/0!</v>
      </c>
      <c r="DA86" s="131"/>
      <c r="DB86" s="130" t="e">
        <f>DB7/DB121</f>
        <v>#DIV/0!</v>
      </c>
      <c r="DC86" s="130" t="e">
        <f>DC7/DC121</f>
        <v>#DIV/0!</v>
      </c>
      <c r="DD86" s="130">
        <f>DD7/DD121</f>
        <v>0</v>
      </c>
      <c r="DE86" s="131"/>
      <c r="DF86" s="130">
        <f>DF7/DF121</f>
        <v>0.16193355212409577</v>
      </c>
      <c r="DG86" s="130">
        <f>DG7/DG121</f>
        <v>0.16881935212133251</v>
      </c>
      <c r="DH86" s="130">
        <f>DH7/DH121</f>
        <v>0</v>
      </c>
      <c r="DI86" s="131"/>
      <c r="DJ86" s="130">
        <f t="shared" ref="DJ86:DO86" si="4">DJ7/DJ121</f>
        <v>0.10489334766815316</v>
      </c>
      <c r="DK86" s="130">
        <f t="shared" si="4"/>
        <v>9.3467869108952759E-2</v>
      </c>
      <c r="DL86" s="130">
        <f t="shared" si="4"/>
        <v>0</v>
      </c>
      <c r="DM86" s="130">
        <f t="shared" si="4"/>
        <v>5.2320863216721449E-2</v>
      </c>
      <c r="DN86" s="130">
        <f t="shared" si="4"/>
        <v>4.1994240558608432E-2</v>
      </c>
      <c r="DO86" s="130">
        <f t="shared" si="4"/>
        <v>0</v>
      </c>
      <c r="DP86" s="131"/>
      <c r="DQ86" s="130">
        <f>DQ7/DQ121</f>
        <v>3.629327511080109E-2</v>
      </c>
      <c r="DR86" s="130">
        <f>DR7/DR121</f>
        <v>1.057763301390449E-2</v>
      </c>
      <c r="DS86" s="130">
        <f>DS7/DS121</f>
        <v>0</v>
      </c>
      <c r="DT86" s="131"/>
      <c r="DU86" s="130">
        <f>DU7/DU121</f>
        <v>0.12607954948329941</v>
      </c>
      <c r="DV86" s="130">
        <f>DV7/DV121</f>
        <v>0.12361624522480878</v>
      </c>
      <c r="FV86" s="130" t="e">
        <f t="shared" ref="FV86:HX86" si="5">FV7/FV121</f>
        <v>#DIV/0!</v>
      </c>
      <c r="FW86" s="130" t="e">
        <f t="shared" si="5"/>
        <v>#DIV/0!</v>
      </c>
      <c r="FX86" s="130" t="e">
        <f t="shared" si="5"/>
        <v>#DIV/0!</v>
      </c>
      <c r="FY86" s="130" t="e">
        <f t="shared" si="5"/>
        <v>#DIV/0!</v>
      </c>
      <c r="FZ86" s="130" t="e">
        <f t="shared" si="5"/>
        <v>#DIV/0!</v>
      </c>
      <c r="GA86" s="130" t="e">
        <f t="shared" si="5"/>
        <v>#DIV/0!</v>
      </c>
      <c r="GB86" s="130" t="e">
        <f t="shared" si="5"/>
        <v>#DIV/0!</v>
      </c>
      <c r="GC86" s="130" t="e">
        <f t="shared" si="5"/>
        <v>#DIV/0!</v>
      </c>
      <c r="GD86" s="130" t="e">
        <f t="shared" si="5"/>
        <v>#DIV/0!</v>
      </c>
      <c r="GE86" s="130" t="e">
        <f t="shared" si="5"/>
        <v>#DIV/0!</v>
      </c>
      <c r="GF86" s="130" t="e">
        <f t="shared" si="5"/>
        <v>#DIV/0!</v>
      </c>
      <c r="GG86" s="130" t="e">
        <f t="shared" si="5"/>
        <v>#DIV/0!</v>
      </c>
      <c r="GH86" s="130" t="e">
        <f t="shared" si="5"/>
        <v>#DIV/0!</v>
      </c>
      <c r="GI86" s="130" t="e">
        <f t="shared" si="5"/>
        <v>#DIV/0!</v>
      </c>
      <c r="GJ86" s="130" t="e">
        <f t="shared" si="5"/>
        <v>#DIV/0!</v>
      </c>
      <c r="GK86" s="130" t="e">
        <f t="shared" si="5"/>
        <v>#DIV/0!</v>
      </c>
      <c r="GL86" s="130" t="e">
        <f t="shared" si="5"/>
        <v>#DIV/0!</v>
      </c>
      <c r="GM86" s="130" t="e">
        <f t="shared" si="5"/>
        <v>#DIV/0!</v>
      </c>
      <c r="GN86" s="130" t="e">
        <f t="shared" si="5"/>
        <v>#DIV/0!</v>
      </c>
      <c r="GO86" s="130" t="e">
        <f t="shared" si="5"/>
        <v>#DIV/0!</v>
      </c>
      <c r="GP86" s="130" t="e">
        <f t="shared" si="5"/>
        <v>#DIV/0!</v>
      </c>
      <c r="GQ86" s="130" t="e">
        <f t="shared" si="5"/>
        <v>#DIV/0!</v>
      </c>
      <c r="GR86" s="130" t="e">
        <f t="shared" si="5"/>
        <v>#DIV/0!</v>
      </c>
      <c r="GS86" s="130" t="e">
        <f t="shared" si="5"/>
        <v>#DIV/0!</v>
      </c>
      <c r="GT86" s="130" t="e">
        <f t="shared" si="5"/>
        <v>#DIV/0!</v>
      </c>
      <c r="GU86" s="130" t="e">
        <f t="shared" si="5"/>
        <v>#DIV/0!</v>
      </c>
      <c r="GV86" s="130" t="e">
        <f t="shared" si="5"/>
        <v>#DIV/0!</v>
      </c>
      <c r="GW86" s="130" t="e">
        <f t="shared" si="5"/>
        <v>#DIV/0!</v>
      </c>
      <c r="GX86" s="130" t="e">
        <f t="shared" si="5"/>
        <v>#DIV/0!</v>
      </c>
      <c r="GY86" s="130" t="e">
        <f t="shared" si="5"/>
        <v>#DIV/0!</v>
      </c>
      <c r="GZ86" s="130" t="e">
        <f t="shared" si="5"/>
        <v>#DIV/0!</v>
      </c>
      <c r="HA86" s="130" t="e">
        <f t="shared" si="5"/>
        <v>#DIV/0!</v>
      </c>
      <c r="HB86" s="130" t="e">
        <f t="shared" si="5"/>
        <v>#DIV/0!</v>
      </c>
      <c r="HC86" s="130" t="e">
        <f t="shared" si="5"/>
        <v>#DIV/0!</v>
      </c>
      <c r="HD86" s="130" t="e">
        <f t="shared" si="5"/>
        <v>#DIV/0!</v>
      </c>
      <c r="HE86" s="130" t="e">
        <f t="shared" si="5"/>
        <v>#DIV/0!</v>
      </c>
      <c r="HF86" s="130" t="e">
        <f t="shared" si="5"/>
        <v>#DIV/0!</v>
      </c>
      <c r="HG86" s="130" t="e">
        <f t="shared" si="5"/>
        <v>#DIV/0!</v>
      </c>
      <c r="HH86" s="130" t="e">
        <f t="shared" si="5"/>
        <v>#DIV/0!</v>
      </c>
      <c r="HI86" s="130" t="e">
        <f t="shared" si="5"/>
        <v>#DIV/0!</v>
      </c>
      <c r="HJ86" s="130" t="e">
        <f t="shared" si="5"/>
        <v>#DIV/0!</v>
      </c>
      <c r="HK86" s="130" t="e">
        <f t="shared" si="5"/>
        <v>#DIV/0!</v>
      </c>
      <c r="HL86" s="130" t="e">
        <f t="shared" si="5"/>
        <v>#DIV/0!</v>
      </c>
      <c r="HM86" s="130" t="e">
        <f t="shared" si="5"/>
        <v>#DIV/0!</v>
      </c>
      <c r="HN86" s="130" t="e">
        <f t="shared" si="5"/>
        <v>#DIV/0!</v>
      </c>
      <c r="HO86" s="130" t="e">
        <f t="shared" si="5"/>
        <v>#DIV/0!</v>
      </c>
      <c r="HP86" s="130" t="e">
        <f t="shared" si="5"/>
        <v>#DIV/0!</v>
      </c>
      <c r="HQ86" s="130" t="e">
        <f t="shared" si="5"/>
        <v>#DIV/0!</v>
      </c>
      <c r="HR86" s="130" t="e">
        <f t="shared" si="5"/>
        <v>#DIV/0!</v>
      </c>
      <c r="HS86" s="130" t="e">
        <f t="shared" si="5"/>
        <v>#DIV/0!</v>
      </c>
      <c r="HT86" s="130" t="e">
        <f t="shared" si="5"/>
        <v>#DIV/0!</v>
      </c>
      <c r="HU86" s="130" t="e">
        <f t="shared" si="5"/>
        <v>#DIV/0!</v>
      </c>
      <c r="HV86" s="130" t="e">
        <f t="shared" si="5"/>
        <v>#DIV/0!</v>
      </c>
      <c r="HW86" s="130" t="e">
        <f t="shared" si="5"/>
        <v>#DIV/0!</v>
      </c>
      <c r="HX86" s="130" t="e">
        <f t="shared" si="5"/>
        <v>#DIV/0!</v>
      </c>
    </row>
    <row r="87" spans="1:232" ht="12.75" customHeight="1" x14ac:dyDescent="0.2">
      <c r="B87" s="157" t="s">
        <v>274</v>
      </c>
      <c r="E87" s="130">
        <f>E8/E125</f>
        <v>2.3600330009096403E-2</v>
      </c>
      <c r="F87" s="130" t="e">
        <f>F8/F125</f>
        <v>#DIV/0!</v>
      </c>
      <c r="G87" s="130" t="e">
        <f>G8/G125</f>
        <v>#DIV/0!</v>
      </c>
      <c r="H87" s="131"/>
      <c r="I87" s="130" t="e">
        <f>I8/I125</f>
        <v>#DIV/0!</v>
      </c>
      <c r="J87" s="130" t="e">
        <f>J8/J125</f>
        <v>#DIV/0!</v>
      </c>
      <c r="K87" s="130">
        <f>K8/K125</f>
        <v>0</v>
      </c>
      <c r="L87" s="131"/>
      <c r="M87" s="130">
        <f>M8/M125</f>
        <v>5.9565417214437637E-2</v>
      </c>
      <c r="N87" s="130">
        <f>N8/N125</f>
        <v>5.8362591486314175E-2</v>
      </c>
      <c r="O87" s="130">
        <f>O8/O125</f>
        <v>0</v>
      </c>
      <c r="P87" s="131"/>
      <c r="Q87" s="130">
        <f>Q8/Q125</f>
        <v>4.2868535702017166E-2</v>
      </c>
      <c r="R87" s="130">
        <f>R8/R125</f>
        <v>2.9093940620017598E-2</v>
      </c>
      <c r="S87" s="130">
        <f>S8/S125</f>
        <v>5.9723987422100527E-2</v>
      </c>
      <c r="T87" s="130">
        <f>T8/T125</f>
        <v>0</v>
      </c>
      <c r="U87" s="131"/>
      <c r="V87" s="130">
        <f>V8/V125</f>
        <v>8.6931358066179854E-2</v>
      </c>
      <c r="W87" s="130">
        <f>W8/W125</f>
        <v>4.4275979875688112E-2</v>
      </c>
      <c r="X87" s="130">
        <f>X8/X125</f>
        <v>0</v>
      </c>
      <c r="Y87" s="131"/>
      <c r="Z87" s="130">
        <f>Z8/Z125</f>
        <v>7.2936843833498494E-2</v>
      </c>
      <c r="AA87" s="130">
        <f>AA8/AA125</f>
        <v>7.0715047787528476E-2</v>
      </c>
      <c r="AB87" s="130">
        <f>AB8/AB125</f>
        <v>0</v>
      </c>
      <c r="AC87" s="131"/>
      <c r="AD87" s="130">
        <f>AD8/AD125</f>
        <v>8.9523440634313542E-2</v>
      </c>
      <c r="AE87" s="130">
        <f>AE8/AE125</f>
        <v>7.0376434867253271E-2</v>
      </c>
      <c r="AF87" s="130">
        <f>AF8/AF125</f>
        <v>0</v>
      </c>
      <c r="AG87" s="131"/>
      <c r="AH87" s="130">
        <f>AH8/AH125</f>
        <v>7.8268448136050509E-2</v>
      </c>
      <c r="AI87" s="130">
        <f>AI8/AI125</f>
        <v>6.7349318075434719E-2</v>
      </c>
      <c r="AJ87" s="130">
        <f>AJ8/AJ125</f>
        <v>0</v>
      </c>
      <c r="AK87" s="131"/>
      <c r="AL87" s="130">
        <f>AL8/AL125</f>
        <v>0</v>
      </c>
      <c r="AM87" s="130" t="e">
        <f>AM8/AM125</f>
        <v>#DIV/0!</v>
      </c>
      <c r="AN87" s="130">
        <f>AN8/AN125</f>
        <v>0</v>
      </c>
      <c r="AO87" s="131"/>
      <c r="AP87" s="130">
        <f>AP8/AP125</f>
        <v>8.1690652383597573E-2</v>
      </c>
      <c r="AQ87" s="130">
        <f>AQ8/AQ125</f>
        <v>4.9475157829557539E-2</v>
      </c>
      <c r="AR87" s="130">
        <f>AR8/AR125</f>
        <v>0</v>
      </c>
      <c r="AS87" s="131"/>
      <c r="AT87" s="130">
        <f>AT8/AT125</f>
        <v>7.9249868692464073E-2</v>
      </c>
      <c r="AU87" s="130">
        <f>AU8/AU125</f>
        <v>7.0647478809250611E-2</v>
      </c>
      <c r="AV87" s="130">
        <f>AV8/AV125</f>
        <v>0</v>
      </c>
      <c r="AW87" s="131"/>
      <c r="AX87" s="130">
        <f>AX8/AX125</f>
        <v>4.4267504950787448E-2</v>
      </c>
      <c r="AY87" s="130">
        <f>AY8/AY125</f>
        <v>4.2998632552321656E-2</v>
      </c>
      <c r="AZ87" s="130">
        <f>AZ8/AZ125</f>
        <v>0</v>
      </c>
      <c r="BA87" s="131"/>
      <c r="BB87" s="130">
        <f>BB8/BB125</f>
        <v>2.7701183557459801E-2</v>
      </c>
      <c r="BC87" s="130" t="e">
        <f>BC8/BC125</f>
        <v>#DIV/0!</v>
      </c>
      <c r="BD87" s="130" t="e">
        <f>BD8/BD125</f>
        <v>#DIV/0!</v>
      </c>
      <c r="BE87" s="131"/>
      <c r="BF87" s="130" t="e">
        <f>BF8/BF125</f>
        <v>#DIV/0!</v>
      </c>
      <c r="BG87" s="130" t="e">
        <f>BG8/BG125</f>
        <v>#DIV/0!</v>
      </c>
      <c r="BH87" s="130">
        <f>BH8/BH125</f>
        <v>0</v>
      </c>
      <c r="BI87" s="131"/>
      <c r="BJ87" s="130">
        <f>BJ8/BJ125</f>
        <v>9.2408545454545452E-2</v>
      </c>
      <c r="BK87" s="130">
        <f>BK8/BK125</f>
        <v>5.0938363636363636E-2</v>
      </c>
      <c r="BL87" s="130">
        <f>BL8/BL125</f>
        <v>0</v>
      </c>
      <c r="BM87" s="131"/>
      <c r="BN87" s="130">
        <f>BN8/BN125</f>
        <v>0.13356135216714524</v>
      </c>
      <c r="BO87" s="130">
        <f>BO8/BO125</f>
        <v>0.12554079590671244</v>
      </c>
      <c r="BP87" s="130">
        <f>BP8/BP125</f>
        <v>0</v>
      </c>
      <c r="BQ87" s="131"/>
      <c r="BR87" s="130">
        <f>BR8/BR125</f>
        <v>2.9300520956798699E-2</v>
      </c>
      <c r="BS87" s="130">
        <f>BS8/BS125</f>
        <v>2.8694792218914401E-2</v>
      </c>
      <c r="BT87" s="130"/>
      <c r="BU87" s="131"/>
      <c r="BV87" s="130">
        <f>BV8/BV125</f>
        <v>4.8977338265522447E-2</v>
      </c>
      <c r="BW87" s="130"/>
      <c r="BX87" s="130">
        <f>BX8/BX125</f>
        <v>0</v>
      </c>
      <c r="BY87" s="131"/>
      <c r="BZ87" s="130">
        <f>BZ8/BZ125</f>
        <v>5.2027103013945121E-2</v>
      </c>
      <c r="CA87" s="130">
        <f>CA8/CA125</f>
        <v>5.3615552638066354E-2</v>
      </c>
      <c r="CB87" s="130">
        <f>CB8/CB125</f>
        <v>0</v>
      </c>
      <c r="CC87" s="131"/>
      <c r="CD87" s="130">
        <f>CD8/CD125</f>
        <v>7.3166370933051644E-2</v>
      </c>
      <c r="CE87" s="130">
        <f>CE8/CE125</f>
        <v>6.8092045501211368E-2</v>
      </c>
      <c r="CF87" s="130" t="e">
        <f>CF8/CF125</f>
        <v>#DIV/0!</v>
      </c>
      <c r="CG87" s="131"/>
      <c r="CH87" s="130" t="e">
        <f>CH8/CH125</f>
        <v>#DIV/0!</v>
      </c>
      <c r="CI87" s="130" t="e">
        <f>CI8/CI125</f>
        <v>#DIV/0!</v>
      </c>
      <c r="CJ87" s="130">
        <f>CJ8/CJ125</f>
        <v>0</v>
      </c>
      <c r="CK87" s="131"/>
      <c r="CL87" s="130">
        <f>CL8/CL125</f>
        <v>7.1923772838242981E-3</v>
      </c>
      <c r="CM87" s="130">
        <f>CM8/CM125</f>
        <v>7.6943340198285361E-3</v>
      </c>
      <c r="CN87" s="130">
        <f>CN8/CN125</f>
        <v>0</v>
      </c>
      <c r="CO87" s="131"/>
      <c r="CP87" s="130">
        <f>CP8/CP125</f>
        <v>7.0376817923288468E-2</v>
      </c>
      <c r="CQ87" s="130">
        <f>CQ8/CQ125</f>
        <v>7.1363656867088551E-2</v>
      </c>
      <c r="CR87" s="130">
        <f>CR8/CR125</f>
        <v>0</v>
      </c>
      <c r="CS87" s="131"/>
      <c r="CT87" s="130">
        <f>CT8/CT125</f>
        <v>8.1389345696951998E-2</v>
      </c>
      <c r="CU87" s="130">
        <f>CU8/CU125</f>
        <v>6.0334345744121928E-2</v>
      </c>
      <c r="CV87" s="130">
        <f>CV8/CV125</f>
        <v>0</v>
      </c>
      <c r="CW87" s="131"/>
      <c r="CX87" s="130">
        <f>CX8/CX125</f>
        <v>9.8293388044390556E-2</v>
      </c>
      <c r="CY87" s="130">
        <f>CY8/CY125</f>
        <v>6.3845219314946786E-2</v>
      </c>
      <c r="CZ87" s="130" t="e">
        <f>CZ8/CZ125</f>
        <v>#DIV/0!</v>
      </c>
      <c r="DA87" s="131"/>
      <c r="DB87" s="130" t="e">
        <f>DB8/DB125</f>
        <v>#DIV/0!</v>
      </c>
      <c r="DC87" s="130" t="e">
        <f>DC8/DC125</f>
        <v>#DIV/0!</v>
      </c>
      <c r="DD87" s="130">
        <f>DD8/DD125</f>
        <v>0</v>
      </c>
      <c r="DE87" s="131"/>
      <c r="DF87" s="130">
        <f>DF8/DF125</f>
        <v>8.3250062810903025E-2</v>
      </c>
      <c r="DG87" s="130">
        <f>DG8/DG125</f>
        <v>7.5763671926463841E-2</v>
      </c>
      <c r="DH87" s="130">
        <f>DH8/DH125</f>
        <v>0</v>
      </c>
      <c r="DI87" s="131"/>
      <c r="DJ87" s="130">
        <f t="shared" ref="DJ87:DO87" si="6">DJ8/DJ125</f>
        <v>7.1990282839497974E-2</v>
      </c>
      <c r="DK87" s="130">
        <f t="shared" si="6"/>
        <v>7.023964435393415E-2</v>
      </c>
      <c r="DL87" s="130">
        <f t="shared" si="6"/>
        <v>0</v>
      </c>
      <c r="DM87" s="130">
        <f t="shared" si="6"/>
        <v>3.6323396914600736E-2</v>
      </c>
      <c r="DN87" s="130">
        <f t="shared" si="6"/>
        <v>4.7820225642108909E-2</v>
      </c>
      <c r="DO87" s="130">
        <f t="shared" si="6"/>
        <v>0</v>
      </c>
      <c r="DP87" s="131"/>
      <c r="DQ87" s="130">
        <f>DQ8/DQ125</f>
        <v>9.5128133356207747E-2</v>
      </c>
      <c r="DR87" s="130">
        <f>DR8/DR125</f>
        <v>8.2919039810526854E-2</v>
      </c>
      <c r="DS87" s="130">
        <f>DS8/DS125</f>
        <v>0</v>
      </c>
      <c r="DT87" s="131"/>
      <c r="DU87" s="130">
        <f>DU8/DU125</f>
        <v>5.6450665836610951E-2</v>
      </c>
      <c r="DV87" s="130">
        <f>DV8/DV125</f>
        <v>5.725384039793234E-2</v>
      </c>
      <c r="FV87" s="130" t="e">
        <f t="shared" ref="FV87:HX87" si="7">FV8/FV125</f>
        <v>#DIV/0!</v>
      </c>
      <c r="FW87" s="130" t="e">
        <f t="shared" si="7"/>
        <v>#DIV/0!</v>
      </c>
      <c r="FX87" s="130" t="e">
        <f t="shared" si="7"/>
        <v>#DIV/0!</v>
      </c>
      <c r="FY87" s="130" t="e">
        <f t="shared" si="7"/>
        <v>#DIV/0!</v>
      </c>
      <c r="FZ87" s="130" t="e">
        <f t="shared" si="7"/>
        <v>#DIV/0!</v>
      </c>
      <c r="GA87" s="130" t="e">
        <f t="shared" si="7"/>
        <v>#DIV/0!</v>
      </c>
      <c r="GB87" s="130" t="e">
        <f t="shared" si="7"/>
        <v>#DIV/0!</v>
      </c>
      <c r="GC87" s="130" t="e">
        <f t="shared" si="7"/>
        <v>#DIV/0!</v>
      </c>
      <c r="GD87" s="130" t="e">
        <f t="shared" si="7"/>
        <v>#DIV/0!</v>
      </c>
      <c r="GE87" s="130" t="e">
        <f t="shared" si="7"/>
        <v>#DIV/0!</v>
      </c>
      <c r="GF87" s="130" t="e">
        <f t="shared" si="7"/>
        <v>#DIV/0!</v>
      </c>
      <c r="GG87" s="130" t="e">
        <f t="shared" si="7"/>
        <v>#DIV/0!</v>
      </c>
      <c r="GH87" s="130" t="e">
        <f t="shared" si="7"/>
        <v>#DIV/0!</v>
      </c>
      <c r="GI87" s="130" t="e">
        <f t="shared" si="7"/>
        <v>#DIV/0!</v>
      </c>
      <c r="GJ87" s="130" t="e">
        <f t="shared" si="7"/>
        <v>#DIV/0!</v>
      </c>
      <c r="GK87" s="130" t="e">
        <f t="shared" si="7"/>
        <v>#DIV/0!</v>
      </c>
      <c r="GL87" s="130" t="e">
        <f t="shared" si="7"/>
        <v>#DIV/0!</v>
      </c>
      <c r="GM87" s="130" t="e">
        <f t="shared" si="7"/>
        <v>#DIV/0!</v>
      </c>
      <c r="GN87" s="130" t="e">
        <f t="shared" si="7"/>
        <v>#DIV/0!</v>
      </c>
      <c r="GO87" s="130" t="e">
        <f t="shared" si="7"/>
        <v>#DIV/0!</v>
      </c>
      <c r="GP87" s="130" t="e">
        <f t="shared" si="7"/>
        <v>#DIV/0!</v>
      </c>
      <c r="GQ87" s="130" t="e">
        <f t="shared" si="7"/>
        <v>#DIV/0!</v>
      </c>
      <c r="GR87" s="130" t="e">
        <f t="shared" si="7"/>
        <v>#DIV/0!</v>
      </c>
      <c r="GS87" s="130" t="e">
        <f t="shared" si="7"/>
        <v>#DIV/0!</v>
      </c>
      <c r="GT87" s="130" t="e">
        <f t="shared" si="7"/>
        <v>#DIV/0!</v>
      </c>
      <c r="GU87" s="130" t="e">
        <f t="shared" si="7"/>
        <v>#DIV/0!</v>
      </c>
      <c r="GV87" s="130" t="e">
        <f t="shared" si="7"/>
        <v>#DIV/0!</v>
      </c>
      <c r="GW87" s="130" t="e">
        <f t="shared" si="7"/>
        <v>#DIV/0!</v>
      </c>
      <c r="GX87" s="130" t="e">
        <f t="shared" si="7"/>
        <v>#DIV/0!</v>
      </c>
      <c r="GY87" s="130" t="e">
        <f t="shared" si="7"/>
        <v>#DIV/0!</v>
      </c>
      <c r="GZ87" s="130" t="e">
        <f t="shared" si="7"/>
        <v>#DIV/0!</v>
      </c>
      <c r="HA87" s="130" t="e">
        <f t="shared" si="7"/>
        <v>#DIV/0!</v>
      </c>
      <c r="HB87" s="130" t="e">
        <f t="shared" si="7"/>
        <v>#DIV/0!</v>
      </c>
      <c r="HC87" s="130" t="e">
        <f t="shared" si="7"/>
        <v>#DIV/0!</v>
      </c>
      <c r="HD87" s="130" t="e">
        <f t="shared" si="7"/>
        <v>#DIV/0!</v>
      </c>
      <c r="HE87" s="130" t="e">
        <f t="shared" si="7"/>
        <v>#DIV/0!</v>
      </c>
      <c r="HF87" s="130" t="e">
        <f t="shared" si="7"/>
        <v>#DIV/0!</v>
      </c>
      <c r="HG87" s="130" t="e">
        <f t="shared" si="7"/>
        <v>#DIV/0!</v>
      </c>
      <c r="HH87" s="130" t="e">
        <f t="shared" si="7"/>
        <v>#DIV/0!</v>
      </c>
      <c r="HI87" s="130" t="e">
        <f t="shared" si="7"/>
        <v>#DIV/0!</v>
      </c>
      <c r="HJ87" s="130" t="e">
        <f t="shared" si="7"/>
        <v>#DIV/0!</v>
      </c>
      <c r="HK87" s="130" t="e">
        <f t="shared" si="7"/>
        <v>#DIV/0!</v>
      </c>
      <c r="HL87" s="130" t="e">
        <f t="shared" si="7"/>
        <v>#DIV/0!</v>
      </c>
      <c r="HM87" s="130" t="e">
        <f t="shared" si="7"/>
        <v>#DIV/0!</v>
      </c>
      <c r="HN87" s="130" t="e">
        <f t="shared" si="7"/>
        <v>#DIV/0!</v>
      </c>
      <c r="HO87" s="130" t="e">
        <f t="shared" si="7"/>
        <v>#DIV/0!</v>
      </c>
      <c r="HP87" s="130" t="e">
        <f t="shared" si="7"/>
        <v>#DIV/0!</v>
      </c>
      <c r="HQ87" s="130" t="e">
        <f t="shared" si="7"/>
        <v>#DIV/0!</v>
      </c>
      <c r="HR87" s="130" t="e">
        <f t="shared" si="7"/>
        <v>#DIV/0!</v>
      </c>
      <c r="HS87" s="130" t="e">
        <f t="shared" si="7"/>
        <v>#DIV/0!</v>
      </c>
      <c r="HT87" s="130" t="e">
        <f t="shared" si="7"/>
        <v>#DIV/0!</v>
      </c>
      <c r="HU87" s="130" t="e">
        <f t="shared" si="7"/>
        <v>#DIV/0!</v>
      </c>
      <c r="HV87" s="130" t="e">
        <f t="shared" si="7"/>
        <v>#DIV/0!</v>
      </c>
      <c r="HW87" s="130" t="e">
        <f t="shared" si="7"/>
        <v>#DIV/0!</v>
      </c>
      <c r="HX87" s="130" t="e">
        <f t="shared" si="7"/>
        <v>#DIV/0!</v>
      </c>
    </row>
    <row r="88" spans="1:232" ht="12.75" customHeight="1" x14ac:dyDescent="0.2">
      <c r="B88" s="157" t="s">
        <v>275</v>
      </c>
      <c r="E88" s="130">
        <f t="shared" ref="E88:BP88" si="8">E14/(E14+E9)</f>
        <v>0.26125449295857639</v>
      </c>
      <c r="F88" s="130" t="e">
        <f t="shared" si="8"/>
        <v>#DIV/0!</v>
      </c>
      <c r="G88" s="130" t="e">
        <f t="shared" si="8"/>
        <v>#DIV/0!</v>
      </c>
      <c r="H88" s="131"/>
      <c r="I88" s="130">
        <f t="shared" si="8"/>
        <v>0.99967240583259553</v>
      </c>
      <c r="J88" s="130">
        <f t="shared" si="8"/>
        <v>0.99969836781188126</v>
      </c>
      <c r="K88" s="130" t="e">
        <f t="shared" si="8"/>
        <v>#DIV/0!</v>
      </c>
      <c r="L88" s="131"/>
      <c r="M88" s="130">
        <f t="shared" si="8"/>
        <v>0.36244238832865511</v>
      </c>
      <c r="N88" s="130">
        <f t="shared" si="8"/>
        <v>0.43303881065106603</v>
      </c>
      <c r="O88" s="130" t="e">
        <f t="shared" si="8"/>
        <v>#DIV/0!</v>
      </c>
      <c r="P88" s="131"/>
      <c r="Q88" s="130">
        <f t="shared" si="8"/>
        <v>0.6905967568445911</v>
      </c>
      <c r="R88" s="130">
        <f t="shared" si="8"/>
        <v>0.31265640578413956</v>
      </c>
      <c r="S88" s="130">
        <f t="shared" si="8"/>
        <v>0.27462793385743861</v>
      </c>
      <c r="T88" s="130" t="e">
        <f t="shared" si="8"/>
        <v>#DIV/0!</v>
      </c>
      <c r="U88" s="131"/>
      <c r="V88" s="130">
        <f t="shared" si="8"/>
        <v>0.16245667940976813</v>
      </c>
      <c r="W88" s="130">
        <f t="shared" si="8"/>
        <v>0.38027415580073554</v>
      </c>
      <c r="X88" s="130" t="e">
        <f t="shared" si="8"/>
        <v>#DIV/0!</v>
      </c>
      <c r="Y88" s="131"/>
      <c r="Z88" s="130">
        <f t="shared" si="8"/>
        <v>1.948215802246522E-2</v>
      </c>
      <c r="AA88" s="130">
        <f t="shared" si="8"/>
        <v>1.2574888534155339E-2</v>
      </c>
      <c r="AB88" s="130" t="e">
        <f t="shared" si="8"/>
        <v>#DIV/0!</v>
      </c>
      <c r="AC88" s="131"/>
      <c r="AD88" s="130">
        <f t="shared" si="8"/>
        <v>0.28132775070602573</v>
      </c>
      <c r="AE88" s="130">
        <f t="shared" si="8"/>
        <v>0.27625214323477953</v>
      </c>
      <c r="AF88" s="130" t="e">
        <f t="shared" si="8"/>
        <v>#DIV/0!</v>
      </c>
      <c r="AG88" s="131"/>
      <c r="AH88" s="130">
        <f t="shared" si="8"/>
        <v>0.88842528961319456</v>
      </c>
      <c r="AI88" s="130">
        <f t="shared" si="8"/>
        <v>0.83531072746637602</v>
      </c>
      <c r="AJ88" s="130" t="e">
        <f t="shared" si="8"/>
        <v>#DIV/0!</v>
      </c>
      <c r="AK88" s="131"/>
      <c r="AL88" s="130" t="e">
        <f t="shared" si="8"/>
        <v>#DIV/0!</v>
      </c>
      <c r="AM88" s="130" t="e">
        <f t="shared" si="8"/>
        <v>#DIV/0!</v>
      </c>
      <c r="AN88" s="130" t="e">
        <f t="shared" si="8"/>
        <v>#DIV/0!</v>
      </c>
      <c r="AO88" s="131"/>
      <c r="AP88" s="130">
        <f t="shared" si="8"/>
        <v>0.63310305393368638</v>
      </c>
      <c r="AQ88" s="130">
        <f t="shared" si="8"/>
        <v>0.62392343720828292</v>
      </c>
      <c r="AR88" s="130" t="e">
        <f t="shared" si="8"/>
        <v>#DIV/0!</v>
      </c>
      <c r="AS88" s="131"/>
      <c r="AT88" s="130">
        <f t="shared" si="8"/>
        <v>0.75016444924794601</v>
      </c>
      <c r="AU88" s="130">
        <f t="shared" si="8"/>
        <v>0.68423630077154896</v>
      </c>
      <c r="AV88" s="130" t="e">
        <f t="shared" si="8"/>
        <v>#DIV/0!</v>
      </c>
      <c r="AW88" s="131"/>
      <c r="AX88" s="130">
        <f t="shared" si="8"/>
        <v>0.42276133508260877</v>
      </c>
      <c r="AY88" s="130">
        <f t="shared" si="8"/>
        <v>0.41403897955949931</v>
      </c>
      <c r="AZ88" s="130" t="e">
        <f t="shared" si="8"/>
        <v>#DIV/0!</v>
      </c>
      <c r="BA88" s="131"/>
      <c r="BB88" s="130">
        <f t="shared" si="8"/>
        <v>0.64818646988761497</v>
      </c>
      <c r="BC88" s="130" t="e">
        <f t="shared" si="8"/>
        <v>#DIV/0!</v>
      </c>
      <c r="BD88" s="130" t="e">
        <f t="shared" si="8"/>
        <v>#DIV/0!</v>
      </c>
      <c r="BE88" s="131"/>
      <c r="BF88" s="130" t="e">
        <f t="shared" si="8"/>
        <v>#DIV/0!</v>
      </c>
      <c r="BG88" s="130" t="e">
        <f t="shared" si="8"/>
        <v>#DIV/0!</v>
      </c>
      <c r="BH88" s="130" t="e">
        <f t="shared" si="8"/>
        <v>#DIV/0!</v>
      </c>
      <c r="BI88" s="131"/>
      <c r="BJ88" s="130">
        <f t="shared" si="8"/>
        <v>0</v>
      </c>
      <c r="BK88" s="130">
        <f t="shared" si="8"/>
        <v>0</v>
      </c>
      <c r="BL88" s="130" t="e">
        <f t="shared" si="8"/>
        <v>#DIV/0!</v>
      </c>
      <c r="BM88" s="131"/>
      <c r="BN88" s="130">
        <f t="shared" si="8"/>
        <v>0.51172666972591863</v>
      </c>
      <c r="BO88" s="130">
        <f t="shared" si="8"/>
        <v>0.34134169030520312</v>
      </c>
      <c r="BP88" s="130" t="e">
        <f t="shared" si="8"/>
        <v>#DIV/0!</v>
      </c>
      <c r="BQ88" s="131"/>
      <c r="BR88" s="130">
        <f t="shared" ref="BR88:BS88" si="9">BR14/(BR14+BR9)</f>
        <v>0.65749627961863411</v>
      </c>
      <c r="BS88" s="130">
        <f t="shared" si="9"/>
        <v>0.65959285349987051</v>
      </c>
      <c r="BT88" s="130"/>
      <c r="BU88" s="131"/>
      <c r="BV88" s="130">
        <f>BV14/(BV14+BV9)</f>
        <v>0.24699221514508138</v>
      </c>
      <c r="BW88" s="130"/>
      <c r="BX88" s="130" t="e">
        <f t="shared" ref="BX88:DM88" si="10">BX14/(BX14+BX9)</f>
        <v>#DIV/0!</v>
      </c>
      <c r="BY88" s="131"/>
      <c r="BZ88" s="130">
        <f t="shared" si="10"/>
        <v>0.22057922157523752</v>
      </c>
      <c r="CA88" s="130">
        <f t="shared" si="10"/>
        <v>0.18236805037699894</v>
      </c>
      <c r="CB88" s="130" t="e">
        <f t="shared" si="10"/>
        <v>#DIV/0!</v>
      </c>
      <c r="CC88" s="131"/>
      <c r="CD88" s="130">
        <f t="shared" si="10"/>
        <v>0.65542489616342992</v>
      </c>
      <c r="CE88" s="130">
        <f t="shared" si="10"/>
        <v>0.65578320004214086</v>
      </c>
      <c r="CF88" s="130" t="e">
        <f t="shared" si="10"/>
        <v>#DIV/0!</v>
      </c>
      <c r="CG88" s="131"/>
      <c r="CH88" s="130" t="e">
        <f t="shared" si="10"/>
        <v>#DIV/0!</v>
      </c>
      <c r="CI88" s="130" t="e">
        <f t="shared" si="10"/>
        <v>#DIV/0!</v>
      </c>
      <c r="CJ88" s="130" t="e">
        <f t="shared" si="10"/>
        <v>#DIV/0!</v>
      </c>
      <c r="CK88" s="131"/>
      <c r="CL88" s="130">
        <f t="shared" si="10"/>
        <v>9.5650159818409228E-2</v>
      </c>
      <c r="CM88" s="130">
        <f t="shared" si="10"/>
        <v>7.0415499228948117E-2</v>
      </c>
      <c r="CN88" s="130" t="e">
        <f t="shared" si="10"/>
        <v>#DIV/0!</v>
      </c>
      <c r="CO88" s="131"/>
      <c r="CP88" s="130">
        <f t="shared" si="10"/>
        <v>0.21291953504119157</v>
      </c>
      <c r="CQ88" s="130">
        <f t="shared" si="10"/>
        <v>0.20602809503168851</v>
      </c>
      <c r="CR88" s="130" t="e">
        <f t="shared" si="10"/>
        <v>#DIV/0!</v>
      </c>
      <c r="CS88" s="131"/>
      <c r="CT88" s="130">
        <f t="shared" si="10"/>
        <v>0.86475581439610216</v>
      </c>
      <c r="CU88" s="130">
        <f t="shared" si="10"/>
        <v>0.82902281070824568</v>
      </c>
      <c r="CV88" s="130" t="e">
        <f t="shared" si="10"/>
        <v>#DIV/0!</v>
      </c>
      <c r="CW88" s="131"/>
      <c r="CX88" s="130">
        <f t="shared" si="10"/>
        <v>0.69907545481658218</v>
      </c>
      <c r="CY88" s="130">
        <f t="shared" si="10"/>
        <v>1.0350269438029254</v>
      </c>
      <c r="CZ88" s="130" t="e">
        <f t="shared" si="10"/>
        <v>#DIV/0!</v>
      </c>
      <c r="DA88" s="131"/>
      <c r="DB88" s="130" t="e">
        <f t="shared" si="10"/>
        <v>#DIV/0!</v>
      </c>
      <c r="DC88" s="130" t="e">
        <f t="shared" si="10"/>
        <v>#DIV/0!</v>
      </c>
      <c r="DD88" s="130" t="e">
        <f t="shared" si="10"/>
        <v>#DIV/0!</v>
      </c>
      <c r="DE88" s="131"/>
      <c r="DF88" s="130">
        <f t="shared" si="10"/>
        <v>0.59270977369059885</v>
      </c>
      <c r="DG88" s="130">
        <f t="shared" si="10"/>
        <v>0.53006802161815814</v>
      </c>
      <c r="DH88" s="130" t="e">
        <f t="shared" si="10"/>
        <v>#DIV/0!</v>
      </c>
      <c r="DI88" s="131"/>
      <c r="DJ88" s="130">
        <f t="shared" si="10"/>
        <v>0.38382876375111985</v>
      </c>
      <c r="DK88" s="130">
        <f t="shared" si="10"/>
        <v>0.99393916340167621</v>
      </c>
      <c r="DL88" s="130" t="e">
        <f t="shared" si="10"/>
        <v>#DIV/0!</v>
      </c>
      <c r="DM88" s="130">
        <f t="shared" si="10"/>
        <v>0</v>
      </c>
      <c r="DN88" s="130">
        <f>DN14/(DN14+DN9)</f>
        <v>0</v>
      </c>
      <c r="DO88" s="130" t="e">
        <f>DO14/(DO14+DO9)</f>
        <v>#DIV/0!</v>
      </c>
      <c r="DP88" s="131"/>
      <c r="DQ88" s="130">
        <f>DQ14/(DQ14+DQ9)</f>
        <v>1.1023484567758524</v>
      </c>
      <c r="DR88" s="130">
        <f>DR14/(DR14+DR9)</f>
        <v>1.1124805631561818</v>
      </c>
      <c r="DS88" s="130" t="e">
        <f>DS14/(DS14+DS9)</f>
        <v>#DIV/0!</v>
      </c>
      <c r="DT88" s="131"/>
      <c r="DU88" s="130">
        <f>DU14/(DU14+DU9)</f>
        <v>0.74448094424478439</v>
      </c>
      <c r="DV88" s="130">
        <f>DV14/(DV14+DV9)</f>
        <v>0.77856391916254275</v>
      </c>
      <c r="FV88" s="130" t="e">
        <f t="shared" ref="FV88:HX88" si="11">FV14/(FV14+FV9)</f>
        <v>#DIV/0!</v>
      </c>
      <c r="FW88" s="130" t="e">
        <f t="shared" si="11"/>
        <v>#DIV/0!</v>
      </c>
      <c r="FX88" s="130" t="e">
        <f t="shared" si="11"/>
        <v>#DIV/0!</v>
      </c>
      <c r="FY88" s="130" t="e">
        <f t="shared" si="11"/>
        <v>#DIV/0!</v>
      </c>
      <c r="FZ88" s="130" t="e">
        <f t="shared" si="11"/>
        <v>#DIV/0!</v>
      </c>
      <c r="GA88" s="130" t="e">
        <f t="shared" si="11"/>
        <v>#DIV/0!</v>
      </c>
      <c r="GB88" s="130" t="e">
        <f t="shared" si="11"/>
        <v>#DIV/0!</v>
      </c>
      <c r="GC88" s="130" t="e">
        <f t="shared" si="11"/>
        <v>#DIV/0!</v>
      </c>
      <c r="GD88" s="130" t="e">
        <f t="shared" si="11"/>
        <v>#DIV/0!</v>
      </c>
      <c r="GE88" s="130" t="e">
        <f t="shared" si="11"/>
        <v>#DIV/0!</v>
      </c>
      <c r="GF88" s="130" t="e">
        <f t="shared" si="11"/>
        <v>#DIV/0!</v>
      </c>
      <c r="GG88" s="130" t="e">
        <f t="shared" si="11"/>
        <v>#DIV/0!</v>
      </c>
      <c r="GH88" s="130" t="e">
        <f t="shared" si="11"/>
        <v>#DIV/0!</v>
      </c>
      <c r="GI88" s="130" t="e">
        <f t="shared" si="11"/>
        <v>#DIV/0!</v>
      </c>
      <c r="GJ88" s="130" t="e">
        <f t="shared" si="11"/>
        <v>#DIV/0!</v>
      </c>
      <c r="GK88" s="130" t="e">
        <f t="shared" si="11"/>
        <v>#DIV/0!</v>
      </c>
      <c r="GL88" s="130" t="e">
        <f t="shared" si="11"/>
        <v>#DIV/0!</v>
      </c>
      <c r="GM88" s="130" t="e">
        <f t="shared" si="11"/>
        <v>#DIV/0!</v>
      </c>
      <c r="GN88" s="130" t="e">
        <f t="shared" si="11"/>
        <v>#DIV/0!</v>
      </c>
      <c r="GO88" s="130" t="e">
        <f t="shared" si="11"/>
        <v>#DIV/0!</v>
      </c>
      <c r="GP88" s="130" t="e">
        <f t="shared" si="11"/>
        <v>#DIV/0!</v>
      </c>
      <c r="GQ88" s="130" t="e">
        <f t="shared" si="11"/>
        <v>#DIV/0!</v>
      </c>
      <c r="GR88" s="130" t="e">
        <f t="shared" si="11"/>
        <v>#DIV/0!</v>
      </c>
      <c r="GS88" s="130" t="e">
        <f t="shared" si="11"/>
        <v>#DIV/0!</v>
      </c>
      <c r="GT88" s="130" t="e">
        <f t="shared" si="11"/>
        <v>#DIV/0!</v>
      </c>
      <c r="GU88" s="130" t="e">
        <f t="shared" si="11"/>
        <v>#DIV/0!</v>
      </c>
      <c r="GV88" s="130" t="e">
        <f t="shared" si="11"/>
        <v>#DIV/0!</v>
      </c>
      <c r="GW88" s="130" t="e">
        <f t="shared" si="11"/>
        <v>#DIV/0!</v>
      </c>
      <c r="GX88" s="130" t="e">
        <f t="shared" si="11"/>
        <v>#DIV/0!</v>
      </c>
      <c r="GY88" s="130" t="e">
        <f t="shared" si="11"/>
        <v>#DIV/0!</v>
      </c>
      <c r="GZ88" s="130" t="e">
        <f t="shared" si="11"/>
        <v>#DIV/0!</v>
      </c>
      <c r="HA88" s="130" t="e">
        <f t="shared" si="11"/>
        <v>#DIV/0!</v>
      </c>
      <c r="HB88" s="130" t="e">
        <f t="shared" si="11"/>
        <v>#DIV/0!</v>
      </c>
      <c r="HC88" s="130" t="e">
        <f t="shared" si="11"/>
        <v>#DIV/0!</v>
      </c>
      <c r="HD88" s="130" t="e">
        <f t="shared" si="11"/>
        <v>#DIV/0!</v>
      </c>
      <c r="HE88" s="130" t="e">
        <f t="shared" si="11"/>
        <v>#DIV/0!</v>
      </c>
      <c r="HF88" s="130" t="e">
        <f t="shared" si="11"/>
        <v>#DIV/0!</v>
      </c>
      <c r="HG88" s="130" t="e">
        <f t="shared" si="11"/>
        <v>#DIV/0!</v>
      </c>
      <c r="HH88" s="130" t="e">
        <f t="shared" si="11"/>
        <v>#DIV/0!</v>
      </c>
      <c r="HI88" s="130" t="e">
        <f t="shared" si="11"/>
        <v>#DIV/0!</v>
      </c>
      <c r="HJ88" s="130" t="e">
        <f t="shared" si="11"/>
        <v>#DIV/0!</v>
      </c>
      <c r="HK88" s="130" t="e">
        <f t="shared" si="11"/>
        <v>#DIV/0!</v>
      </c>
      <c r="HL88" s="130" t="e">
        <f t="shared" si="11"/>
        <v>#DIV/0!</v>
      </c>
      <c r="HM88" s="130" t="e">
        <f t="shared" si="11"/>
        <v>#DIV/0!</v>
      </c>
      <c r="HN88" s="130" t="e">
        <f t="shared" si="11"/>
        <v>#DIV/0!</v>
      </c>
      <c r="HO88" s="130" t="e">
        <f t="shared" si="11"/>
        <v>#DIV/0!</v>
      </c>
      <c r="HP88" s="130" t="e">
        <f t="shared" si="11"/>
        <v>#DIV/0!</v>
      </c>
      <c r="HQ88" s="130" t="e">
        <f t="shared" si="11"/>
        <v>#DIV/0!</v>
      </c>
      <c r="HR88" s="130" t="e">
        <f t="shared" si="11"/>
        <v>#DIV/0!</v>
      </c>
      <c r="HS88" s="130" t="e">
        <f t="shared" si="11"/>
        <v>#DIV/0!</v>
      </c>
      <c r="HT88" s="130" t="e">
        <f t="shared" si="11"/>
        <v>#DIV/0!</v>
      </c>
      <c r="HU88" s="130" t="e">
        <f t="shared" si="11"/>
        <v>#DIV/0!</v>
      </c>
      <c r="HV88" s="130" t="e">
        <f t="shared" si="11"/>
        <v>#DIV/0!</v>
      </c>
      <c r="HW88" s="130" t="e">
        <f t="shared" si="11"/>
        <v>#DIV/0!</v>
      </c>
      <c r="HX88" s="130" t="e">
        <f t="shared" si="11"/>
        <v>#DIV/0!</v>
      </c>
    </row>
    <row r="89" spans="1:232" ht="12.75" customHeight="1" x14ac:dyDescent="0.2">
      <c r="A89" s="159" t="s">
        <v>276</v>
      </c>
      <c r="B89" s="160"/>
      <c r="C89" s="91"/>
      <c r="D89" s="92"/>
      <c r="E89" s="85"/>
      <c r="F89" s="85"/>
      <c r="G89" s="91"/>
      <c r="H89" s="92"/>
      <c r="I89" s="85"/>
      <c r="J89" s="85"/>
      <c r="K89" s="91"/>
      <c r="L89" s="92"/>
      <c r="M89" s="85"/>
      <c r="N89" s="85"/>
      <c r="O89" s="91"/>
      <c r="P89" s="92"/>
      <c r="Q89" s="85"/>
      <c r="S89" s="85"/>
      <c r="T89" s="91"/>
      <c r="U89" s="92"/>
      <c r="V89" s="84"/>
      <c r="W89" s="85"/>
      <c r="X89" s="91"/>
      <c r="Y89" s="92"/>
      <c r="Z89" s="85"/>
      <c r="AA89" s="85"/>
      <c r="AB89" s="91"/>
      <c r="AC89" s="92"/>
      <c r="AD89" s="85"/>
      <c r="AE89" s="85"/>
      <c r="AF89" s="91"/>
      <c r="AG89" s="92"/>
      <c r="AH89" s="85"/>
      <c r="AI89" s="85"/>
      <c r="AJ89" s="91"/>
      <c r="AK89" s="92"/>
      <c r="AL89" s="85"/>
      <c r="AM89" s="85"/>
      <c r="AN89" s="91"/>
      <c r="AO89" s="92"/>
      <c r="AP89" s="85"/>
      <c r="AQ89" s="85"/>
      <c r="AR89" s="91"/>
      <c r="AS89" s="92"/>
      <c r="AT89" s="85"/>
      <c r="AU89" s="85"/>
      <c r="AV89" s="91"/>
      <c r="AW89" s="92"/>
      <c r="AX89" s="85"/>
      <c r="AY89" s="85"/>
      <c r="AZ89" s="91"/>
      <c r="BA89" s="92"/>
      <c r="BB89" s="85"/>
      <c r="BC89" s="85"/>
      <c r="BD89" s="91"/>
      <c r="BE89" s="92"/>
      <c r="BF89" s="85"/>
      <c r="BG89" s="85"/>
      <c r="BH89" s="91"/>
      <c r="BI89" s="92"/>
      <c r="BJ89" s="85"/>
      <c r="BK89" s="85"/>
      <c r="BL89" s="91"/>
      <c r="BM89" s="92"/>
      <c r="BN89" s="85"/>
      <c r="BO89" s="85"/>
      <c r="BP89" s="91"/>
      <c r="BQ89" s="92"/>
      <c r="BR89" s="85"/>
      <c r="BS89" s="85"/>
      <c r="BT89" s="91"/>
      <c r="BU89" s="92"/>
      <c r="BV89" s="85"/>
      <c r="BW89" s="85"/>
      <c r="BX89" s="91"/>
      <c r="BY89" s="92"/>
      <c r="BZ89" s="85"/>
      <c r="CA89" s="85"/>
      <c r="CB89" s="91"/>
      <c r="CC89" s="92"/>
      <c r="CD89" s="85"/>
      <c r="CE89" s="85"/>
      <c r="CF89" s="91"/>
      <c r="CG89" s="92"/>
      <c r="CH89" s="85"/>
      <c r="CI89" s="85"/>
      <c r="CJ89" s="91"/>
      <c r="CK89" s="92"/>
      <c r="CL89" s="85"/>
      <c r="CM89" s="85"/>
      <c r="CN89" s="91"/>
      <c r="CO89" s="92"/>
      <c r="CP89" s="85"/>
      <c r="CQ89" s="85"/>
      <c r="CR89" s="91"/>
      <c r="CS89" s="92"/>
      <c r="CT89" s="85"/>
      <c r="CU89" s="85"/>
      <c r="CV89" s="91"/>
      <c r="CW89" s="92"/>
      <c r="CX89" s="85"/>
      <c r="CY89" s="85"/>
      <c r="CZ89" s="91"/>
      <c r="DA89" s="92"/>
      <c r="DB89" s="85"/>
      <c r="DC89" s="85"/>
      <c r="DD89" s="91"/>
      <c r="DE89" s="92"/>
      <c r="DF89" s="85"/>
      <c r="DG89" s="85"/>
      <c r="DH89" s="91"/>
      <c r="DI89" s="92"/>
      <c r="DJ89" s="85"/>
      <c r="DK89" s="85"/>
      <c r="DL89" s="85"/>
      <c r="DM89" s="85"/>
      <c r="DN89" s="85"/>
      <c r="DO89" s="91"/>
      <c r="DP89" s="92"/>
      <c r="DQ89" s="85"/>
      <c r="DR89" s="85"/>
      <c r="DS89" s="91"/>
      <c r="DT89" s="92"/>
      <c r="DU89" s="85"/>
      <c r="DV89" s="85"/>
    </row>
    <row r="90" spans="1:232" ht="12.75" customHeight="1" x14ac:dyDescent="0.2">
      <c r="A90" s="161"/>
      <c r="B90" s="157" t="s">
        <v>277</v>
      </c>
      <c r="E90" s="130">
        <f t="shared" ref="E90:BP90" si="12">E18/(E9+E12+E13)</f>
        <v>7.8694169465558907</v>
      </c>
      <c r="F90" s="130" t="e">
        <f t="shared" si="12"/>
        <v>#DIV/0!</v>
      </c>
      <c r="G90" s="130" t="e">
        <f t="shared" si="12"/>
        <v>#DIV/0!</v>
      </c>
      <c r="H90" s="131"/>
      <c r="I90" s="130">
        <f t="shared" si="12"/>
        <v>0.99967240583259553</v>
      </c>
      <c r="J90" s="130">
        <f t="shared" si="12"/>
        <v>0.99976996402356655</v>
      </c>
      <c r="K90" s="130" t="e">
        <f t="shared" si="12"/>
        <v>#DIV/0!</v>
      </c>
      <c r="L90" s="131"/>
      <c r="M90" s="130">
        <f t="shared" si="12"/>
        <v>0.6956024534774925</v>
      </c>
      <c r="N90" s="130">
        <f t="shared" si="12"/>
        <v>0.51711347667440666</v>
      </c>
      <c r="O90" s="130" t="e">
        <f t="shared" si="12"/>
        <v>#DIV/0!</v>
      </c>
      <c r="P90" s="131"/>
      <c r="Q90" s="130">
        <f t="shared" si="12"/>
        <v>0.61464877591283307</v>
      </c>
      <c r="R90" s="130">
        <f t="shared" si="12"/>
        <v>0.5280267229601503</v>
      </c>
      <c r="S90" s="130">
        <f t="shared" si="12"/>
        <v>0.51755332265500553</v>
      </c>
      <c r="T90" s="130" t="e">
        <f t="shared" si="12"/>
        <v>#DIV/0!</v>
      </c>
      <c r="U90" s="131"/>
      <c r="V90" s="130">
        <f t="shared" si="12"/>
        <v>0.16200431672944263</v>
      </c>
      <c r="W90" s="130">
        <f t="shared" si="12"/>
        <v>0.14451870497352659</v>
      </c>
      <c r="X90" s="130" t="e">
        <f t="shared" si="12"/>
        <v>#DIV/0!</v>
      </c>
      <c r="Y90" s="131"/>
      <c r="Z90" s="130">
        <f t="shared" si="12"/>
        <v>5.5476590362645982E-2</v>
      </c>
      <c r="AA90" s="130">
        <f t="shared" si="12"/>
        <v>9.6294159740188276E-2</v>
      </c>
      <c r="AB90" s="130" t="e">
        <f t="shared" si="12"/>
        <v>#DIV/0!</v>
      </c>
      <c r="AC90" s="131"/>
      <c r="AD90" s="130">
        <f t="shared" si="12"/>
        <v>0.59891885362244457</v>
      </c>
      <c r="AE90" s="130">
        <f t="shared" si="12"/>
        <v>0.43307929296146425</v>
      </c>
      <c r="AF90" s="130" t="e">
        <f t="shared" si="12"/>
        <v>#DIV/0!</v>
      </c>
      <c r="AG90" s="131"/>
      <c r="AH90" s="130">
        <f t="shared" si="12"/>
        <v>0.7880127916854045</v>
      </c>
      <c r="AI90" s="130">
        <f t="shared" si="12"/>
        <v>0.73157173317088031</v>
      </c>
      <c r="AJ90" s="130" t="e">
        <f t="shared" si="12"/>
        <v>#DIV/0!</v>
      </c>
      <c r="AK90" s="131"/>
      <c r="AL90" s="130" t="e">
        <f t="shared" si="12"/>
        <v>#DIV/0!</v>
      </c>
      <c r="AM90" s="130" t="e">
        <f t="shared" si="12"/>
        <v>#DIV/0!</v>
      </c>
      <c r="AN90" s="130" t="e">
        <f t="shared" si="12"/>
        <v>#DIV/0!</v>
      </c>
      <c r="AO90" s="131"/>
      <c r="AP90" s="130">
        <f t="shared" si="12"/>
        <v>0.58981956380826084</v>
      </c>
      <c r="AQ90" s="130">
        <f t="shared" si="12"/>
        <v>0.52202479036958271</v>
      </c>
      <c r="AR90" s="130" t="e">
        <f t="shared" si="12"/>
        <v>#DIV/0!</v>
      </c>
      <c r="AS90" s="131"/>
      <c r="AT90" s="130">
        <f t="shared" si="12"/>
        <v>0.53200584859475808</v>
      </c>
      <c r="AU90" s="130">
        <f t="shared" si="12"/>
        <v>0.54994732114450273</v>
      </c>
      <c r="AV90" s="130" t="e">
        <f t="shared" si="12"/>
        <v>#DIV/0!</v>
      </c>
      <c r="AW90" s="131"/>
      <c r="AX90" s="130">
        <f t="shared" si="12"/>
        <v>0.7519290209245959</v>
      </c>
      <c r="AY90" s="130">
        <f t="shared" si="12"/>
        <v>0.75645697987640625</v>
      </c>
      <c r="AZ90" s="130" t="e">
        <f t="shared" si="12"/>
        <v>#DIV/0!</v>
      </c>
      <c r="BA90" s="131"/>
      <c r="BB90" s="130">
        <f t="shared" si="12"/>
        <v>1.0725278966244585</v>
      </c>
      <c r="BC90" s="130" t="e">
        <f t="shared" si="12"/>
        <v>#DIV/0!</v>
      </c>
      <c r="BD90" s="130" t="e">
        <f t="shared" si="12"/>
        <v>#DIV/0!</v>
      </c>
      <c r="BE90" s="131"/>
      <c r="BF90" s="130" t="e">
        <f t="shared" si="12"/>
        <v>#DIV/0!</v>
      </c>
      <c r="BG90" s="130" t="e">
        <f t="shared" si="12"/>
        <v>#DIV/0!</v>
      </c>
      <c r="BH90" s="130" t="e">
        <f t="shared" si="12"/>
        <v>#DIV/0!</v>
      </c>
      <c r="BI90" s="131"/>
      <c r="BJ90" s="130">
        <f t="shared" si="12"/>
        <v>0.77271739130434913</v>
      </c>
      <c r="BK90" s="130">
        <f t="shared" si="12"/>
        <v>0.88324133105271441</v>
      </c>
      <c r="BL90" s="130" t="e">
        <f t="shared" si="12"/>
        <v>#DIV/0!</v>
      </c>
      <c r="BM90" s="131"/>
      <c r="BN90" s="130">
        <f t="shared" si="12"/>
        <v>1.0963197196612573</v>
      </c>
      <c r="BO90" s="130">
        <f t="shared" si="12"/>
        <v>0.62160788530202904</v>
      </c>
      <c r="BP90" s="130" t="e">
        <f t="shared" si="12"/>
        <v>#DIV/0!</v>
      </c>
      <c r="BQ90" s="131"/>
      <c r="BR90" s="130">
        <f t="shared" ref="BR90:BS90" si="13">BR18/(BR9+BR12+BR13)</f>
        <v>0.65678280958822632</v>
      </c>
      <c r="BS90" s="130">
        <f t="shared" si="13"/>
        <v>0.6313002799014501</v>
      </c>
      <c r="BT90" s="130"/>
      <c r="BU90" s="131"/>
      <c r="BV90" s="130">
        <f>BV18/(BV9+BV12+BV13)</f>
        <v>0.95778980891719745</v>
      </c>
      <c r="BW90" s="130"/>
      <c r="BX90" s="130" t="e">
        <f t="shared" ref="BX90:DM90" si="14">BX18/(BX9+BX12+BX13)</f>
        <v>#DIV/0!</v>
      </c>
      <c r="BY90" s="131"/>
      <c r="BZ90" s="130">
        <f t="shared" si="14"/>
        <v>0.53263867606497084</v>
      </c>
      <c r="CA90" s="130">
        <f t="shared" si="14"/>
        <v>0.57353550418427379</v>
      </c>
      <c r="CB90" s="130" t="e">
        <f t="shared" si="14"/>
        <v>#DIV/0!</v>
      </c>
      <c r="CC90" s="131"/>
      <c r="CD90" s="130">
        <f t="shared" si="14"/>
        <v>0.54983402018433603</v>
      </c>
      <c r="CE90" s="130">
        <f t="shared" si="14"/>
        <v>0.60906715756189478</v>
      </c>
      <c r="CF90" s="130" t="e">
        <f t="shared" si="14"/>
        <v>#DIV/0!</v>
      </c>
      <c r="CG90" s="131"/>
      <c r="CH90" s="130" t="e">
        <f t="shared" si="14"/>
        <v>#DIV/0!</v>
      </c>
      <c r="CI90" s="130" t="e">
        <f t="shared" si="14"/>
        <v>#DIV/0!</v>
      </c>
      <c r="CJ90" s="130" t="e">
        <f t="shared" si="14"/>
        <v>#DIV/0!</v>
      </c>
      <c r="CK90" s="131"/>
      <c r="CL90" s="130">
        <f t="shared" si="14"/>
        <v>0.80769907814888586</v>
      </c>
      <c r="CM90" s="130">
        <f t="shared" si="14"/>
        <v>0.81612041441324035</v>
      </c>
      <c r="CN90" s="130" t="e">
        <f t="shared" si="14"/>
        <v>#DIV/0!</v>
      </c>
      <c r="CO90" s="131"/>
      <c r="CP90" s="130">
        <f t="shared" si="14"/>
        <v>0.44726780273106881</v>
      </c>
      <c r="CQ90" s="130">
        <f t="shared" si="14"/>
        <v>0.44313410671187581</v>
      </c>
      <c r="CR90" s="130" t="e">
        <f t="shared" si="14"/>
        <v>#DIV/0!</v>
      </c>
      <c r="CS90" s="131"/>
      <c r="CT90" s="130">
        <f t="shared" si="14"/>
        <v>0.85874157816603858</v>
      </c>
      <c r="CU90" s="130">
        <f t="shared" si="14"/>
        <v>0.88998886276450939</v>
      </c>
      <c r="CV90" s="130" t="e">
        <f t="shared" si="14"/>
        <v>#DIV/0!</v>
      </c>
      <c r="CW90" s="131"/>
      <c r="CX90" s="130">
        <f t="shared" si="14"/>
        <v>0.32105577095138682</v>
      </c>
      <c r="CY90" s="130">
        <f t="shared" si="14"/>
        <v>0.36451116243264048</v>
      </c>
      <c r="CZ90" s="130" t="e">
        <f t="shared" si="14"/>
        <v>#DIV/0!</v>
      </c>
      <c r="DA90" s="131"/>
      <c r="DB90" s="130" t="e">
        <f t="shared" si="14"/>
        <v>#DIV/0!</v>
      </c>
      <c r="DC90" s="130" t="e">
        <f t="shared" si="14"/>
        <v>#DIV/0!</v>
      </c>
      <c r="DD90" s="130" t="e">
        <f t="shared" si="14"/>
        <v>#DIV/0!</v>
      </c>
      <c r="DE90" s="131"/>
      <c r="DF90" s="130">
        <f t="shared" si="14"/>
        <v>0.28560300955068346</v>
      </c>
      <c r="DG90" s="130">
        <f t="shared" si="14"/>
        <v>0.30866991002549071</v>
      </c>
      <c r="DH90" s="130" t="e">
        <f t="shared" si="14"/>
        <v>#DIV/0!</v>
      </c>
      <c r="DI90" s="131"/>
      <c r="DJ90" s="130">
        <f t="shared" si="14"/>
        <v>0.61294280018402081</v>
      </c>
      <c r="DK90" s="130">
        <f t="shared" si="14"/>
        <v>0.71205954328172749</v>
      </c>
      <c r="DL90" s="130" t="e">
        <f t="shared" si="14"/>
        <v>#DIV/0!</v>
      </c>
      <c r="DM90" s="130">
        <f t="shared" si="14"/>
        <v>0</v>
      </c>
      <c r="DN90" s="130">
        <f>DN18/(DN9+DN12+DN13)</f>
        <v>0</v>
      </c>
      <c r="DO90" s="130" t="e">
        <f>DO18/(DO9+DO12+DO13)</f>
        <v>#DIV/0!</v>
      </c>
      <c r="DP90" s="131"/>
      <c r="DQ90" s="130">
        <f>DQ18/(DQ9+DQ12+DQ13)</f>
        <v>0.95690186835851565</v>
      </c>
      <c r="DR90" s="130">
        <f>DR18/(DR9+DR12+DR13)</f>
        <v>0.95498432450735338</v>
      </c>
      <c r="DS90" s="130" t="e">
        <f>DS18/(DS9+DS12+DS13)</f>
        <v>#DIV/0!</v>
      </c>
      <c r="DT90" s="131"/>
      <c r="DU90" s="130">
        <f>DU18/(DU9+DU12+DU13)</f>
        <v>0.76036448475985474</v>
      </c>
      <c r="DV90" s="130">
        <f>DV18/(DV9+DV12+DV13)</f>
        <v>0.76167638423993922</v>
      </c>
    </row>
    <row r="91" spans="1:232" ht="12.75" customHeight="1" x14ac:dyDescent="0.2">
      <c r="A91" s="161"/>
      <c r="B91" s="155" t="s">
        <v>278</v>
      </c>
      <c r="E91" s="130">
        <f>E18/(E9+E12+E13-E115)</f>
        <v>45.341905272252347</v>
      </c>
      <c r="F91" s="130" t="e">
        <f>F18/(F9+F12+F13-F115)</f>
        <v>#DIV/0!</v>
      </c>
      <c r="G91" s="130" t="e">
        <f>G18/(G9+G12+G13-G115)</f>
        <v>#DIV/0!</v>
      </c>
      <c r="H91" s="131"/>
      <c r="I91" s="130">
        <f>I18/(I9+I12+I13-I115)</f>
        <v>0.99967240583259553</v>
      </c>
      <c r="J91" s="130">
        <f>J18/(J9+J12+J13-J115)</f>
        <v>0.99976996402356655</v>
      </c>
      <c r="K91" s="130" t="e">
        <f>K18/(K9+K12+K13-K115)</f>
        <v>#DIV/0!</v>
      </c>
      <c r="L91" s="131"/>
      <c r="M91" s="130">
        <f>M18/(M9+M12+M13-M115)</f>
        <v>0.69994420810377289</v>
      </c>
      <c r="N91" s="130">
        <f>N18/(N9+N12+N13-N115)</f>
        <v>0.51711347667440666</v>
      </c>
      <c r="O91" s="130" t="e">
        <f>O18/(O9+O12+O13-O115)</f>
        <v>#DIV/0!</v>
      </c>
      <c r="P91" s="131"/>
      <c r="Q91" s="130">
        <f>Q18/(Q9+Q12+Q13-Q115)</f>
        <v>2.0570172068307171</v>
      </c>
      <c r="R91" s="130">
        <f>R18/(R9+R12+R13-R115)</f>
        <v>0.61148925555281075</v>
      </c>
      <c r="S91" s="130">
        <f>S18/(S9+S12+S13-S115)</f>
        <v>0.51755332265500553</v>
      </c>
      <c r="T91" s="130" t="e">
        <f>T18/(T9+T12+T13-T115)</f>
        <v>#DIV/0!</v>
      </c>
      <c r="U91" s="131"/>
      <c r="V91" s="130">
        <f>V18/(V9+V12+V13-V115)</f>
        <v>0.30523881668128539</v>
      </c>
      <c r="W91" s="130">
        <f>W18/(W9+W12+W13-W115)</f>
        <v>0.14451870497352659</v>
      </c>
      <c r="X91" s="130" t="e">
        <f>X18/(X9+X12+X13-X115)</f>
        <v>#DIV/0!</v>
      </c>
      <c r="Y91" s="131"/>
      <c r="Z91" s="130">
        <f>Z18/(Z9+Z12+Z13-Z115)</f>
        <v>5.5476590362645982E-2</v>
      </c>
      <c r="AA91" s="130">
        <f>AA18/(AA9+AA12+AA13-AA115)</f>
        <v>9.6294159740188276E-2</v>
      </c>
      <c r="AB91" s="130" t="e">
        <f>AB18/(AB9+AB12+AB13-AB115)</f>
        <v>#DIV/0!</v>
      </c>
      <c r="AC91" s="131"/>
      <c r="AD91" s="130">
        <f>AD18/(AD9+AD12+AD13-AD115)</f>
        <v>0.79315467497915704</v>
      </c>
      <c r="AE91" s="130">
        <f>AE18/(AE9+AE12+AE13-AE115)</f>
        <v>0.43307929296146425</v>
      </c>
      <c r="AF91" s="130" t="e">
        <f>AF18/(AF9+AF12+AF13-AF115)</f>
        <v>#DIV/0!</v>
      </c>
      <c r="AG91" s="131"/>
      <c r="AH91" s="130">
        <f>AH18/(AH9+AH12+AH13-AH115)</f>
        <v>0.78321869335253658</v>
      </c>
      <c r="AI91" s="130">
        <f>AI18/(AI9+AI12+AI13-AI115)</f>
        <v>0.73157173317088031</v>
      </c>
      <c r="AJ91" s="130" t="e">
        <f>AJ18/(AJ9+AJ12+AJ13-AJ115)</f>
        <v>#DIV/0!</v>
      </c>
      <c r="AK91" s="131"/>
      <c r="AL91" s="130" t="e">
        <f>AL18/(AL9+AL12+AL13-AL115)</f>
        <v>#DIV/0!</v>
      </c>
      <c r="AM91" s="130" t="e">
        <f>AM18/(AM9+AM12+AM13-AM115)</f>
        <v>#DIV/0!</v>
      </c>
      <c r="AN91" s="130" t="e">
        <f>AN18/(AN9+AN12+AN13-AN115)</f>
        <v>#DIV/0!</v>
      </c>
      <c r="AO91" s="131"/>
      <c r="AP91" s="130">
        <f>AP18/(AP9+AP12+AP13-AP115)</f>
        <v>0.6391235955656327</v>
      </c>
      <c r="AQ91" s="130">
        <f>AQ18/(AQ9+AQ12+AQ13-AQ115)</f>
        <v>0.52202479036958271</v>
      </c>
      <c r="AR91" s="130" t="e">
        <f>AR18/(AR9+AR12+AR13-AR115)</f>
        <v>#DIV/0!</v>
      </c>
      <c r="AS91" s="131"/>
      <c r="AT91" s="130">
        <f>AT18/(AT9+AT12+AT13-AT115)</f>
        <v>0.58625518183114278</v>
      </c>
      <c r="AU91" s="130">
        <f>AU18/(AU9+AU12+AU13-AU115)</f>
        <v>0.54994732114450273</v>
      </c>
      <c r="AV91" s="130" t="e">
        <f>AV18/(AV9+AV12+AV13-AV115)</f>
        <v>#DIV/0!</v>
      </c>
      <c r="AW91" s="131"/>
      <c r="AX91" s="130">
        <f>AX18/(AX9+AX12+AX13-AX115)</f>
        <v>0.75811586404806741</v>
      </c>
      <c r="AY91" s="130">
        <f>AY18/(AY9+AY12+AY13-AY115)</f>
        <v>0.75645697987640625</v>
      </c>
      <c r="AZ91" s="130" t="e">
        <f>AZ18/(AZ9+AZ12+AZ13-AZ115)</f>
        <v>#DIV/0!</v>
      </c>
      <c r="BA91" s="131"/>
      <c r="BB91" s="130">
        <f>BB18/(BB9+BB12+BB13-BB115)</f>
        <v>1.0725278966244585</v>
      </c>
      <c r="BC91" s="130" t="e">
        <f>BC18/(BC9+BC12+BC13-BC115)</f>
        <v>#DIV/0!</v>
      </c>
      <c r="BD91" s="130" t="e">
        <f>BD18/(BD9+BD12+BD13-BD115)</f>
        <v>#DIV/0!</v>
      </c>
      <c r="BE91" s="131"/>
      <c r="BF91" s="130" t="e">
        <f>BF18/(BF9+BF12+BF13-BF115)</f>
        <v>#DIV/0!</v>
      </c>
      <c r="BG91" s="130" t="e">
        <f>BG18/(BG9+BG12+BG13-BG115)</f>
        <v>#DIV/0!</v>
      </c>
      <c r="BH91" s="130" t="e">
        <f>BH18/(BH9+BH12+BH13-BH115)</f>
        <v>#DIV/0!</v>
      </c>
      <c r="BI91" s="131"/>
      <c r="BJ91" s="130">
        <f>BJ18/(BJ9+BJ12+BJ13-BJ115)</f>
        <v>0.77271739130434913</v>
      </c>
      <c r="BK91" s="130">
        <f>BK18/(BK9+BK12+BK13-BK115)</f>
        <v>0.88324133105271441</v>
      </c>
      <c r="BL91" s="130" t="e">
        <f>BL18/(BL9+BL12+BL13-BL115)</f>
        <v>#DIV/0!</v>
      </c>
      <c r="BM91" s="131"/>
      <c r="BN91" s="130">
        <f>BN18/(BN9+BN12+BN13-BN115)</f>
        <v>1.0309279806429443</v>
      </c>
      <c r="BO91" s="130">
        <f>BO18/(BO9+BO12+BO13-BO115)</f>
        <v>0.62160788530202904</v>
      </c>
      <c r="BP91" s="130" t="e">
        <f>BP18/(BP9+BP12+BP13-BP115)</f>
        <v>#DIV/0!</v>
      </c>
      <c r="BQ91" s="131"/>
      <c r="BR91" s="130">
        <f>BR18/(BR9+BR12+BR13-BR115)</f>
        <v>0.64895491719146936</v>
      </c>
      <c r="BS91" s="130">
        <f>BS18/(BS9+BS12+BS13-BS115)</f>
        <v>0.6313002799014501</v>
      </c>
      <c r="BT91" s="130"/>
      <c r="BU91" s="131"/>
      <c r="BV91" s="130">
        <f>BV18/(BV9+BV12+BV13-BV115)</f>
        <v>0.96231397859860623</v>
      </c>
      <c r="BW91" s="130"/>
      <c r="BX91" s="130" t="e">
        <f>BX18/(BX9+BX12+BX13-BX115)</f>
        <v>#DIV/0!</v>
      </c>
      <c r="BY91" s="131"/>
      <c r="BZ91" s="130">
        <f>BZ18/(BZ9+BZ12+BZ13-BZ115)</f>
        <v>0.57251091163633372</v>
      </c>
      <c r="CA91" s="130">
        <f>CA18/(CA9+CA12+CA13-CA115)</f>
        <v>0.57353550418427379</v>
      </c>
      <c r="CB91" s="130" t="e">
        <f>CB18/(CB9+CB12+CB13-CB115)</f>
        <v>#DIV/0!</v>
      </c>
      <c r="CC91" s="131"/>
      <c r="CD91" s="130">
        <f>CD18/(CD9+CD12+CD13-CD115)</f>
        <v>0.59155095757657672</v>
      </c>
      <c r="CE91" s="130">
        <f>CE18/(CE9+CE12+CE13-CE115)</f>
        <v>0.60906715756189478</v>
      </c>
      <c r="CF91" s="130" t="e">
        <f>CF18/(CF9+CF12+CF13-CF115)</f>
        <v>#DIV/0!</v>
      </c>
      <c r="CG91" s="131"/>
      <c r="CH91" s="130" t="e">
        <f>CH18/(CH9+CH12+CH13-CH115)</f>
        <v>#DIV/0!</v>
      </c>
      <c r="CI91" s="130" t="e">
        <f>CI18/(CI9+CI12+CI13-CI115)</f>
        <v>#DIV/0!</v>
      </c>
      <c r="CJ91" s="130" t="e">
        <f>CJ18/(CJ9+CJ12+CJ13-CJ115)</f>
        <v>#DIV/0!</v>
      </c>
      <c r="CK91" s="131"/>
      <c r="CL91" s="130">
        <f>CL18/(CL9+CL12+CL13-CL115)</f>
        <v>0.8261924392763389</v>
      </c>
      <c r="CM91" s="130">
        <f>CM18/(CM9+CM12+CM13-CM115)</f>
        <v>0.81612041441324035</v>
      </c>
      <c r="CN91" s="130" t="e">
        <f>CN18/(CN9+CN12+CN13-CN115)</f>
        <v>#DIV/0!</v>
      </c>
      <c r="CO91" s="131"/>
      <c r="CP91" s="130">
        <f>CP18/(CP9+CP12+CP13-CP115)</f>
        <v>0.4664620876052053</v>
      </c>
      <c r="CQ91" s="130">
        <f>CQ18/(CQ9+CQ12+CQ13-CQ115)</f>
        <v>0.44313410671187581</v>
      </c>
      <c r="CR91" s="130" t="e">
        <f>CR18/(CR9+CR12+CR13-CR115)</f>
        <v>#DIV/0!</v>
      </c>
      <c r="CS91" s="131"/>
      <c r="CT91" s="130">
        <f>CT18/(CT9+CT12+CT13-CT115)</f>
        <v>1.0804597701149425</v>
      </c>
      <c r="CU91" s="130">
        <f>CU18/(CU9+CU12+CU13-CU115)</f>
        <v>0.88998886276450939</v>
      </c>
      <c r="CV91" s="130" t="e">
        <f>CV18/(CV9+CV12+CV13-CV115)</f>
        <v>#DIV/0!</v>
      </c>
      <c r="CW91" s="131"/>
      <c r="CX91" s="130">
        <f>CX18/(CX9+CX12+CX13-CX115)</f>
        <v>0.32105577095138682</v>
      </c>
      <c r="CY91" s="130">
        <f>CY18/(CY9+CY12+CY13-CY115)</f>
        <v>0.36451116243264048</v>
      </c>
      <c r="CZ91" s="130" t="e">
        <f>CZ18/(CZ9+CZ12+CZ13-CZ115)</f>
        <v>#DIV/0!</v>
      </c>
      <c r="DA91" s="131"/>
      <c r="DB91" s="130" t="e">
        <f>DB18/(DB9+DB12+DB13-DB115)</f>
        <v>#DIV/0!</v>
      </c>
      <c r="DC91" s="130" t="e">
        <f>DC18/(DC9+DC12+DC13-DC115)</f>
        <v>#DIV/0!</v>
      </c>
      <c r="DD91" s="130" t="e">
        <f>DD18/(DD9+DD12+DD13-DD115)</f>
        <v>#DIV/0!</v>
      </c>
      <c r="DE91" s="131"/>
      <c r="DF91" s="130">
        <f>DF18/(DF9+DF12+DF13-DF115)</f>
        <v>0.2895281503131073</v>
      </c>
      <c r="DG91" s="130">
        <f>DG18/(DG9+DG12+DG13-DG115)</f>
        <v>0.30866991002549071</v>
      </c>
      <c r="DH91" s="130" t="e">
        <f>DH18/(DH9+DH12+DH13-DH115)</f>
        <v>#DIV/0!</v>
      </c>
      <c r="DI91" s="131"/>
      <c r="DJ91" s="130">
        <f t="shared" ref="DJ91:DO91" si="15">DJ18/(DJ9+DJ12+DJ13-DJ115)</f>
        <v>0.61294280018402081</v>
      </c>
      <c r="DK91" s="130">
        <f t="shared" si="15"/>
        <v>0.71205954328172749</v>
      </c>
      <c r="DL91" s="130" t="e">
        <f t="shared" si="15"/>
        <v>#DIV/0!</v>
      </c>
      <c r="DM91" s="130">
        <f t="shared" si="15"/>
        <v>0</v>
      </c>
      <c r="DN91" s="130">
        <f t="shared" si="15"/>
        <v>0</v>
      </c>
      <c r="DO91" s="130" t="e">
        <f t="shared" si="15"/>
        <v>#DIV/0!</v>
      </c>
      <c r="DP91" s="131"/>
      <c r="DQ91" s="130">
        <f>DQ18/(DQ9+DQ12+DQ13-DQ115)</f>
        <v>0.95690186835851565</v>
      </c>
      <c r="DR91" s="130">
        <f>DR18/(DR9+DR12+DR13-DR115)</f>
        <v>0.95498432450735338</v>
      </c>
      <c r="DS91" s="130" t="e">
        <f>DS18/(DS9+DS12+DS13-DS115)</f>
        <v>#DIV/0!</v>
      </c>
      <c r="DT91" s="131"/>
      <c r="DU91" s="130">
        <f>DU18/(DU9+DU12+DU13-DU115)</f>
        <v>0.79617376279616892</v>
      </c>
      <c r="DV91" s="130">
        <f>DV18/(DV9+DV12+DV13-DV115)</f>
        <v>0.76167638423993922</v>
      </c>
      <c r="FV91" s="130"/>
      <c r="FW91" s="130"/>
      <c r="FX91" s="130"/>
      <c r="FY91" s="130"/>
      <c r="FZ91" s="130"/>
      <c r="GA91" s="130"/>
      <c r="GB91" s="130"/>
      <c r="GC91" s="130"/>
      <c r="GD91" s="130"/>
      <c r="GE91" s="130"/>
      <c r="GF91" s="130"/>
      <c r="GG91" s="130"/>
      <c r="GH91" s="130"/>
      <c r="GI91" s="130"/>
      <c r="GJ91" s="130"/>
      <c r="GK91" s="130"/>
      <c r="GL91" s="130"/>
      <c r="GM91" s="130"/>
      <c r="GN91" s="130"/>
      <c r="GO91" s="130"/>
      <c r="GP91" s="130"/>
      <c r="GQ91" s="130"/>
      <c r="GR91" s="130"/>
      <c r="GS91" s="130"/>
      <c r="GT91" s="130"/>
      <c r="GU91" s="130"/>
      <c r="GV91" s="130"/>
      <c r="GW91" s="130"/>
      <c r="GX91" s="130"/>
      <c r="GY91" s="130"/>
      <c r="GZ91" s="130"/>
      <c r="HA91" s="130"/>
      <c r="HB91" s="130"/>
      <c r="HC91" s="130"/>
      <c r="HD91" s="130"/>
      <c r="HE91" s="130"/>
      <c r="HF91" s="130"/>
      <c r="HG91" s="130"/>
      <c r="HH91" s="130"/>
      <c r="HI91" s="130"/>
      <c r="HJ91" s="130"/>
      <c r="HK91" s="130"/>
      <c r="HL91" s="130"/>
      <c r="HM91" s="130"/>
      <c r="HN91" s="130"/>
      <c r="HO91" s="130"/>
      <c r="HP91" s="130"/>
      <c r="HQ91" s="130"/>
      <c r="HR91" s="130"/>
      <c r="HS91" s="130"/>
      <c r="HT91" s="130"/>
      <c r="HU91" s="130"/>
      <c r="HV91" s="130"/>
      <c r="HW91" s="130"/>
      <c r="HX91" s="130"/>
    </row>
    <row r="92" spans="1:232" ht="12.75" customHeight="1" x14ac:dyDescent="0.2">
      <c r="A92" s="162"/>
      <c r="B92" s="163"/>
      <c r="C92" s="91"/>
      <c r="D92" s="92"/>
      <c r="E92" s="85"/>
      <c r="F92" s="85"/>
      <c r="G92" s="91"/>
      <c r="H92" s="92"/>
      <c r="I92" s="85"/>
      <c r="J92" s="85"/>
      <c r="K92" s="91"/>
      <c r="L92" s="92"/>
      <c r="M92" s="85"/>
      <c r="N92" s="85"/>
      <c r="O92" s="91"/>
      <c r="P92" s="92"/>
      <c r="Q92" s="85"/>
      <c r="S92" s="85"/>
      <c r="T92" s="91"/>
      <c r="U92" s="92"/>
      <c r="V92" s="84"/>
      <c r="W92" s="85"/>
      <c r="X92" s="91"/>
      <c r="Y92" s="92"/>
      <c r="Z92" s="85"/>
      <c r="AA92" s="85"/>
      <c r="AB92" s="91"/>
      <c r="AC92" s="92"/>
      <c r="AD92" s="85"/>
      <c r="AE92" s="85"/>
      <c r="AF92" s="91"/>
      <c r="AG92" s="92"/>
      <c r="AH92" s="85"/>
      <c r="AI92" s="85"/>
      <c r="AJ92" s="91"/>
      <c r="AK92" s="92"/>
      <c r="AL92" s="85"/>
      <c r="AM92" s="85"/>
      <c r="AN92" s="91"/>
      <c r="AO92" s="92"/>
      <c r="AP92" s="85"/>
      <c r="AQ92" s="85"/>
      <c r="AR92" s="91"/>
      <c r="AS92" s="92"/>
      <c r="AT92" s="85"/>
      <c r="AU92" s="85"/>
      <c r="AV92" s="91"/>
      <c r="AW92" s="92"/>
      <c r="AX92" s="85"/>
      <c r="AY92" s="85"/>
      <c r="AZ92" s="91"/>
      <c r="BA92" s="92"/>
      <c r="BB92" s="85"/>
      <c r="BC92" s="85"/>
      <c r="BD92" s="91"/>
      <c r="BE92" s="92"/>
      <c r="BF92" s="85"/>
      <c r="BG92" s="85"/>
      <c r="BH92" s="91"/>
      <c r="BI92" s="92"/>
      <c r="BJ92" s="85"/>
      <c r="BK92" s="85"/>
      <c r="BL92" s="91"/>
      <c r="BM92" s="92"/>
      <c r="BN92" s="85"/>
      <c r="BO92" s="85"/>
      <c r="BP92" s="91"/>
      <c r="BQ92" s="92"/>
      <c r="BR92" s="85"/>
      <c r="BS92" s="85"/>
      <c r="BT92" s="91"/>
      <c r="BU92" s="92"/>
      <c r="BV92" s="85"/>
      <c r="BW92" s="85"/>
      <c r="BX92" s="91"/>
      <c r="BY92" s="92"/>
      <c r="BZ92" s="85"/>
      <c r="CA92" s="85"/>
      <c r="CB92" s="91"/>
      <c r="CC92" s="92"/>
      <c r="CD92" s="85"/>
      <c r="CE92" s="85"/>
      <c r="CF92" s="91"/>
      <c r="CG92" s="92"/>
      <c r="CH92" s="85"/>
      <c r="CI92" s="85"/>
      <c r="CJ92" s="91"/>
      <c r="CK92" s="92"/>
      <c r="CL92" s="85"/>
      <c r="CM92" s="85"/>
      <c r="CN92" s="91"/>
      <c r="CO92" s="92"/>
      <c r="CP92" s="85"/>
      <c r="CQ92" s="85"/>
      <c r="CR92" s="91"/>
      <c r="CS92" s="92"/>
      <c r="CT92" s="85"/>
      <c r="CU92" s="85"/>
      <c r="CV92" s="91"/>
      <c r="CW92" s="92"/>
      <c r="CX92" s="85"/>
      <c r="CY92" s="85"/>
      <c r="CZ92" s="91"/>
      <c r="DA92" s="92"/>
      <c r="DB92" s="85"/>
      <c r="DC92" s="85"/>
      <c r="DD92" s="91"/>
      <c r="DE92" s="92"/>
      <c r="DF92" s="85"/>
      <c r="DG92" s="85"/>
      <c r="DH92" s="91"/>
      <c r="DI92" s="92"/>
      <c r="DJ92" s="85"/>
      <c r="DK92" s="85"/>
      <c r="DL92" s="85"/>
      <c r="DM92" s="85"/>
      <c r="DN92" s="85"/>
      <c r="DO92" s="91"/>
      <c r="DP92" s="92"/>
      <c r="DQ92" s="85"/>
      <c r="DR92" s="85"/>
      <c r="DS92" s="91"/>
      <c r="DT92" s="92"/>
      <c r="DU92" s="85"/>
      <c r="DV92" s="85"/>
    </row>
    <row r="93" spans="1:232" ht="12.75" customHeight="1" x14ac:dyDescent="0.2">
      <c r="A93" s="148" t="s">
        <v>133</v>
      </c>
      <c r="B93" s="148"/>
      <c r="C93" s="91"/>
      <c r="D93" s="92"/>
      <c r="E93" s="85"/>
      <c r="F93" s="85"/>
      <c r="G93" s="91"/>
      <c r="H93" s="92"/>
      <c r="I93" s="85"/>
      <c r="J93" s="85"/>
      <c r="K93" s="91"/>
      <c r="L93" s="92"/>
      <c r="M93" s="85"/>
      <c r="N93" s="85"/>
      <c r="O93" s="91"/>
      <c r="P93" s="92"/>
      <c r="Q93" s="85"/>
      <c r="S93" s="85"/>
      <c r="T93" s="91"/>
      <c r="U93" s="92"/>
      <c r="V93" s="84"/>
      <c r="W93" s="85"/>
      <c r="X93" s="91"/>
      <c r="Y93" s="92"/>
      <c r="Z93" s="85"/>
      <c r="AA93" s="85"/>
      <c r="AB93" s="91"/>
      <c r="AC93" s="92"/>
      <c r="AD93" s="85"/>
      <c r="AE93" s="85"/>
      <c r="AF93" s="91"/>
      <c r="AG93" s="92"/>
      <c r="AH93" s="85"/>
      <c r="AI93" s="85"/>
      <c r="AJ93" s="91"/>
      <c r="AK93" s="92"/>
      <c r="AL93" s="85"/>
      <c r="AM93" s="85"/>
      <c r="AN93" s="91"/>
      <c r="AO93" s="92"/>
      <c r="AP93" s="85"/>
      <c r="AQ93" s="85"/>
      <c r="AR93" s="91"/>
      <c r="AS93" s="92"/>
      <c r="AT93" s="85"/>
      <c r="AU93" s="85"/>
      <c r="AV93" s="91"/>
      <c r="AW93" s="92"/>
      <c r="AX93" s="85"/>
      <c r="AY93" s="85"/>
      <c r="AZ93" s="91"/>
      <c r="BA93" s="92"/>
      <c r="BB93" s="85"/>
      <c r="BC93" s="85"/>
      <c r="BD93" s="91"/>
      <c r="BE93" s="92"/>
      <c r="BF93" s="85"/>
      <c r="BG93" s="85"/>
      <c r="BH93" s="91"/>
      <c r="BI93" s="92"/>
      <c r="BJ93" s="85"/>
      <c r="BK93" s="85"/>
      <c r="BL93" s="91"/>
      <c r="BM93" s="92"/>
      <c r="BN93" s="85"/>
      <c r="BO93" s="85"/>
      <c r="BP93" s="91"/>
      <c r="BQ93" s="92"/>
      <c r="BR93" s="85"/>
      <c r="BS93" s="85"/>
      <c r="BT93" s="91"/>
      <c r="BU93" s="92"/>
      <c r="BV93" s="85"/>
      <c r="BW93" s="85"/>
      <c r="BX93" s="91"/>
      <c r="BY93" s="92"/>
      <c r="BZ93" s="85"/>
      <c r="CA93" s="85"/>
      <c r="CB93" s="91"/>
      <c r="CC93" s="92"/>
      <c r="CD93" s="85"/>
      <c r="CE93" s="85"/>
      <c r="CF93" s="91"/>
      <c r="CG93" s="92"/>
      <c r="CH93" s="85"/>
      <c r="CI93" s="85"/>
      <c r="CJ93" s="91"/>
      <c r="CK93" s="92"/>
      <c r="CL93" s="85"/>
      <c r="CM93" s="85"/>
      <c r="CN93" s="91"/>
      <c r="CO93" s="92"/>
      <c r="CP93" s="85"/>
      <c r="CQ93" s="85"/>
      <c r="CR93" s="91"/>
      <c r="CS93" s="92"/>
      <c r="CT93" s="85"/>
      <c r="CU93" s="85"/>
      <c r="CV93" s="91"/>
      <c r="CW93" s="92"/>
      <c r="CX93" s="85"/>
      <c r="CY93" s="85"/>
      <c r="CZ93" s="91"/>
      <c r="DA93" s="92"/>
      <c r="DB93" s="85"/>
      <c r="DC93" s="85"/>
      <c r="DD93" s="91"/>
      <c r="DE93" s="92"/>
      <c r="DF93" s="85"/>
      <c r="DG93" s="85"/>
      <c r="DH93" s="91"/>
      <c r="DI93" s="92"/>
      <c r="DJ93" s="85"/>
      <c r="DK93" s="85"/>
      <c r="DL93" s="85"/>
      <c r="DM93" s="85"/>
      <c r="DN93" s="85"/>
      <c r="DO93" s="91"/>
      <c r="DP93" s="92"/>
      <c r="DQ93" s="85"/>
      <c r="DR93" s="85"/>
      <c r="DS93" s="91"/>
      <c r="DT93" s="92"/>
      <c r="DU93" s="85"/>
      <c r="DV93" s="85"/>
    </row>
    <row r="94" spans="1:232" ht="12.75" customHeight="1" x14ac:dyDescent="0.2">
      <c r="A94" s="162"/>
      <c r="B94" s="160" t="s">
        <v>5</v>
      </c>
      <c r="C94" s="91"/>
      <c r="D94" s="92"/>
      <c r="E94" s="90">
        <f t="shared" ref="E94:BP94" si="16">E37</f>
        <v>24210.044000000002</v>
      </c>
      <c r="F94" s="90">
        <f t="shared" si="16"/>
        <v>0</v>
      </c>
      <c r="G94" s="90">
        <f t="shared" si="16"/>
        <v>0</v>
      </c>
      <c r="H94" s="88"/>
      <c r="I94" s="90">
        <f t="shared" si="16"/>
        <v>257005.97099999999</v>
      </c>
      <c r="J94" s="90">
        <f t="shared" si="16"/>
        <v>257004.39</v>
      </c>
      <c r="K94" s="90">
        <f t="shared" si="16"/>
        <v>0</v>
      </c>
      <c r="L94" s="88"/>
      <c r="M94" s="90">
        <f t="shared" si="16"/>
        <v>351193</v>
      </c>
      <c r="N94" s="90">
        <f t="shared" si="16"/>
        <v>331944</v>
      </c>
      <c r="O94" s="90">
        <f t="shared" si="16"/>
        <v>0</v>
      </c>
      <c r="P94" s="88"/>
      <c r="Q94" s="90">
        <f t="shared" si="16"/>
        <v>51189</v>
      </c>
      <c r="R94" s="90">
        <f t="shared" si="16"/>
        <v>39593.339</v>
      </c>
      <c r="S94" s="90">
        <f t="shared" si="16"/>
        <v>36412.321000000004</v>
      </c>
      <c r="T94" s="90">
        <f t="shared" si="16"/>
        <v>0</v>
      </c>
      <c r="U94" s="88"/>
      <c r="V94" s="90">
        <f t="shared" si="16"/>
        <v>295400</v>
      </c>
      <c r="W94" s="90">
        <f t="shared" si="16"/>
        <v>185994</v>
      </c>
      <c r="X94" s="90">
        <f t="shared" si="16"/>
        <v>0</v>
      </c>
      <c r="Y94" s="88"/>
      <c r="Z94" s="90">
        <f t="shared" si="16"/>
        <v>92974.442999999999</v>
      </c>
      <c r="AA94" s="90">
        <f t="shared" si="16"/>
        <v>71367.667000000001</v>
      </c>
      <c r="AB94" s="90">
        <f t="shared" si="16"/>
        <v>0</v>
      </c>
      <c r="AC94" s="88"/>
      <c r="AD94" s="90">
        <f t="shared" si="16"/>
        <v>61703.133000000002</v>
      </c>
      <c r="AE94" s="90">
        <f t="shared" si="16"/>
        <v>44386.368000000002</v>
      </c>
      <c r="AF94" s="90">
        <f t="shared" si="16"/>
        <v>0</v>
      </c>
      <c r="AG94" s="88"/>
      <c r="AH94" s="90">
        <f t="shared" si="16"/>
        <v>434771</v>
      </c>
      <c r="AI94" s="90">
        <f t="shared" si="16"/>
        <v>414071</v>
      </c>
      <c r="AJ94" s="90">
        <f t="shared" si="16"/>
        <v>0</v>
      </c>
      <c r="AK94" s="88"/>
      <c r="AL94" s="90">
        <f t="shared" si="16"/>
        <v>5676.6329999999998</v>
      </c>
      <c r="AM94" s="90">
        <f t="shared" si="16"/>
        <v>1</v>
      </c>
      <c r="AN94" s="90">
        <f t="shared" si="16"/>
        <v>0</v>
      </c>
      <c r="AO94" s="88"/>
      <c r="AP94" s="90">
        <f t="shared" si="16"/>
        <v>36387.550000000003</v>
      </c>
      <c r="AQ94" s="90">
        <f t="shared" si="16"/>
        <v>8091.4079999999994</v>
      </c>
      <c r="AR94" s="90">
        <f t="shared" si="16"/>
        <v>0</v>
      </c>
      <c r="AS94" s="88"/>
      <c r="AT94" s="90">
        <f t="shared" si="16"/>
        <v>147694.88</v>
      </c>
      <c r="AU94" s="90">
        <f t="shared" si="16"/>
        <v>80988.285999999993</v>
      </c>
      <c r="AV94" s="90">
        <f t="shared" si="16"/>
        <v>0</v>
      </c>
      <c r="AW94" s="88"/>
      <c r="AX94" s="90">
        <f t="shared" si="16"/>
        <v>759065</v>
      </c>
      <c r="AY94" s="90">
        <f t="shared" si="16"/>
        <v>662155</v>
      </c>
      <c r="AZ94" s="90">
        <f t="shared" si="16"/>
        <v>0</v>
      </c>
      <c r="BA94" s="88"/>
      <c r="BB94" s="90">
        <f t="shared" si="16"/>
        <v>838.56100000000004</v>
      </c>
      <c r="BC94" s="90">
        <f t="shared" si="16"/>
        <v>0</v>
      </c>
      <c r="BD94" s="90">
        <f t="shared" si="16"/>
        <v>0</v>
      </c>
      <c r="BE94" s="88"/>
      <c r="BF94" s="90">
        <f t="shared" si="16"/>
        <v>0</v>
      </c>
      <c r="BG94" s="90">
        <f t="shared" si="16"/>
        <v>0</v>
      </c>
      <c r="BH94" s="90">
        <f t="shared" si="16"/>
        <v>0</v>
      </c>
      <c r="BI94" s="88"/>
      <c r="BJ94" s="90">
        <f t="shared" si="16"/>
        <v>21823.235000000001</v>
      </c>
      <c r="BK94" s="90">
        <f t="shared" si="16"/>
        <v>11206.217000000001</v>
      </c>
      <c r="BL94" s="90">
        <f t="shared" si="16"/>
        <v>0</v>
      </c>
      <c r="BM94" s="88"/>
      <c r="BN94" s="90">
        <f t="shared" si="16"/>
        <v>4299.009</v>
      </c>
      <c r="BO94" s="90">
        <f t="shared" si="16"/>
        <v>2710.636</v>
      </c>
      <c r="BP94" s="90">
        <f t="shared" si="16"/>
        <v>0</v>
      </c>
      <c r="BQ94" s="88"/>
      <c r="BR94" s="90">
        <f t="shared" ref="BR94:BS94" si="17">BR37</f>
        <v>37600.561999999998</v>
      </c>
      <c r="BS94" s="90">
        <f t="shared" si="17"/>
        <v>41065.904000000002</v>
      </c>
      <c r="BT94" s="90"/>
      <c r="BU94" s="88"/>
      <c r="BV94" s="90">
        <f>BV37</f>
        <v>40584.053999999996</v>
      </c>
      <c r="BW94" s="90"/>
      <c r="BX94" s="90">
        <f t="shared" ref="BX94:DM94" si="18">BX37</f>
        <v>0</v>
      </c>
      <c r="BY94" s="88"/>
      <c r="BZ94" s="90">
        <f t="shared" si="18"/>
        <v>407188</v>
      </c>
      <c r="CA94" s="90">
        <f t="shared" si="18"/>
        <v>390347</v>
      </c>
      <c r="CB94" s="90">
        <f t="shared" si="18"/>
        <v>0</v>
      </c>
      <c r="CC94" s="88"/>
      <c r="CD94" s="90">
        <f t="shared" si="18"/>
        <v>825137.76599999995</v>
      </c>
      <c r="CE94" s="90">
        <f t="shared" si="18"/>
        <v>730173.59400000004</v>
      </c>
      <c r="CF94" s="90">
        <f t="shared" si="18"/>
        <v>0</v>
      </c>
      <c r="CG94" s="88"/>
      <c r="CH94" s="90">
        <f t="shared" si="18"/>
        <v>0</v>
      </c>
      <c r="CI94" s="90">
        <f t="shared" si="18"/>
        <v>0</v>
      </c>
      <c r="CJ94" s="90">
        <f t="shared" si="18"/>
        <v>0</v>
      </c>
      <c r="CK94" s="88"/>
      <c r="CL94" s="90">
        <f t="shared" si="18"/>
        <v>1513920</v>
      </c>
      <c r="CM94" s="90">
        <f t="shared" si="18"/>
        <v>1343670</v>
      </c>
      <c r="CN94" s="90">
        <f t="shared" si="18"/>
        <v>0</v>
      </c>
      <c r="CO94" s="88"/>
      <c r="CP94" s="90">
        <f t="shared" si="18"/>
        <v>39357.777999999998</v>
      </c>
      <c r="CQ94" s="90">
        <f t="shared" si="18"/>
        <v>36214.457999999999</v>
      </c>
      <c r="CR94" s="90">
        <f t="shared" si="18"/>
        <v>0</v>
      </c>
      <c r="CS94" s="88"/>
      <c r="CT94" s="90">
        <f t="shared" si="18"/>
        <v>220615</v>
      </c>
      <c r="CU94" s="90">
        <f t="shared" si="18"/>
        <v>215065</v>
      </c>
      <c r="CV94" s="90">
        <f t="shared" si="18"/>
        <v>0</v>
      </c>
      <c r="CW94" s="88"/>
      <c r="CX94" s="90">
        <f t="shared" si="18"/>
        <v>137611</v>
      </c>
      <c r="CY94" s="90">
        <f t="shared" si="18"/>
        <v>121800</v>
      </c>
      <c r="CZ94" s="90">
        <f t="shared" si="18"/>
        <v>0</v>
      </c>
      <c r="DA94" s="88"/>
      <c r="DB94" s="90">
        <f t="shared" si="18"/>
        <v>0</v>
      </c>
      <c r="DC94" s="90">
        <f t="shared" si="18"/>
        <v>0</v>
      </c>
      <c r="DD94" s="90">
        <f t="shared" si="18"/>
        <v>0</v>
      </c>
      <c r="DE94" s="88"/>
      <c r="DF94" s="90">
        <f t="shared" si="18"/>
        <v>318799.92499999999</v>
      </c>
      <c r="DG94" s="90">
        <f t="shared" si="18"/>
        <v>234426.965</v>
      </c>
      <c r="DH94" s="90">
        <f t="shared" si="18"/>
        <v>0</v>
      </c>
      <c r="DI94" s="88"/>
      <c r="DJ94" s="90">
        <f t="shared" si="18"/>
        <v>10917133</v>
      </c>
      <c r="DK94" s="90">
        <f t="shared" si="18"/>
        <v>10475659</v>
      </c>
      <c r="DL94" s="90">
        <f t="shared" si="18"/>
        <v>0</v>
      </c>
      <c r="DM94" s="90">
        <f t="shared" si="18"/>
        <v>10323638</v>
      </c>
      <c r="DN94" s="90">
        <f>DN37</f>
        <v>7359308</v>
      </c>
      <c r="DO94" s="90">
        <f>DO37</f>
        <v>0</v>
      </c>
      <c r="DP94" s="88"/>
      <c r="DQ94" s="90">
        <f>DQ37</f>
        <v>6827.8090000000002</v>
      </c>
      <c r="DR94" s="90">
        <f>DR37</f>
        <v>3380.6120000000001</v>
      </c>
      <c r="DS94" s="90">
        <f>DS37</f>
        <v>0</v>
      </c>
      <c r="DT94" s="88"/>
      <c r="DU94" s="90">
        <f>DU37</f>
        <v>533922.56000000006</v>
      </c>
      <c r="DV94" s="90">
        <f>DV37</f>
        <v>500755.82</v>
      </c>
      <c r="FV94" s="90">
        <f t="shared" ref="FV94:HX94" si="19">FV37</f>
        <v>0</v>
      </c>
      <c r="FW94" s="90">
        <f t="shared" si="19"/>
        <v>0</v>
      </c>
      <c r="FX94" s="90">
        <f t="shared" si="19"/>
        <v>0</v>
      </c>
      <c r="FY94" s="90">
        <f t="shared" si="19"/>
        <v>0</v>
      </c>
      <c r="FZ94" s="90">
        <f t="shared" si="19"/>
        <v>0</v>
      </c>
      <c r="GA94" s="90">
        <f t="shared" si="19"/>
        <v>0</v>
      </c>
      <c r="GB94" s="90">
        <f t="shared" si="19"/>
        <v>0</v>
      </c>
      <c r="GC94" s="90">
        <f t="shared" si="19"/>
        <v>0</v>
      </c>
      <c r="GD94" s="90">
        <f t="shared" si="19"/>
        <v>0</v>
      </c>
      <c r="GE94" s="90">
        <f t="shared" si="19"/>
        <v>0</v>
      </c>
      <c r="GF94" s="90">
        <f t="shared" si="19"/>
        <v>0</v>
      </c>
      <c r="GG94" s="90">
        <f t="shared" si="19"/>
        <v>0</v>
      </c>
      <c r="GH94" s="90">
        <f t="shared" si="19"/>
        <v>0</v>
      </c>
      <c r="GI94" s="90">
        <f t="shared" si="19"/>
        <v>0</v>
      </c>
      <c r="GJ94" s="90">
        <f t="shared" si="19"/>
        <v>0</v>
      </c>
      <c r="GK94" s="90">
        <f t="shared" si="19"/>
        <v>0</v>
      </c>
      <c r="GL94" s="90">
        <f t="shared" si="19"/>
        <v>0</v>
      </c>
      <c r="GM94" s="90">
        <f t="shared" si="19"/>
        <v>0</v>
      </c>
      <c r="GN94" s="90">
        <f t="shared" si="19"/>
        <v>0</v>
      </c>
      <c r="GO94" s="90">
        <f t="shared" si="19"/>
        <v>0</v>
      </c>
      <c r="GP94" s="90">
        <f t="shared" si="19"/>
        <v>0</v>
      </c>
      <c r="GQ94" s="90">
        <f t="shared" si="19"/>
        <v>0</v>
      </c>
      <c r="GR94" s="90">
        <f t="shared" si="19"/>
        <v>0</v>
      </c>
      <c r="GS94" s="90">
        <f t="shared" si="19"/>
        <v>0</v>
      </c>
      <c r="GT94" s="90">
        <f t="shared" si="19"/>
        <v>0</v>
      </c>
      <c r="GU94" s="90">
        <f t="shared" si="19"/>
        <v>0</v>
      </c>
      <c r="GV94" s="90">
        <f t="shared" si="19"/>
        <v>0</v>
      </c>
      <c r="GW94" s="90">
        <f t="shared" si="19"/>
        <v>0</v>
      </c>
      <c r="GX94" s="90">
        <f t="shared" si="19"/>
        <v>0</v>
      </c>
      <c r="GY94" s="90">
        <f t="shared" si="19"/>
        <v>0</v>
      </c>
      <c r="GZ94" s="90">
        <f t="shared" si="19"/>
        <v>0</v>
      </c>
      <c r="HA94" s="90">
        <f t="shared" si="19"/>
        <v>0</v>
      </c>
      <c r="HB94" s="90">
        <f t="shared" si="19"/>
        <v>0</v>
      </c>
      <c r="HC94" s="90">
        <f t="shared" si="19"/>
        <v>0</v>
      </c>
      <c r="HD94" s="90">
        <f t="shared" si="19"/>
        <v>0</v>
      </c>
      <c r="HE94" s="90">
        <f t="shared" si="19"/>
        <v>0</v>
      </c>
      <c r="HF94" s="90">
        <f t="shared" si="19"/>
        <v>0</v>
      </c>
      <c r="HG94" s="90">
        <f t="shared" si="19"/>
        <v>0</v>
      </c>
      <c r="HH94" s="90">
        <f t="shared" si="19"/>
        <v>0</v>
      </c>
      <c r="HI94" s="90">
        <f t="shared" si="19"/>
        <v>0</v>
      </c>
      <c r="HJ94" s="90">
        <f t="shared" si="19"/>
        <v>0</v>
      </c>
      <c r="HK94" s="90">
        <f t="shared" si="19"/>
        <v>0</v>
      </c>
      <c r="HL94" s="90">
        <f t="shared" si="19"/>
        <v>0</v>
      </c>
      <c r="HM94" s="90">
        <f t="shared" si="19"/>
        <v>0</v>
      </c>
      <c r="HN94" s="90">
        <f t="shared" si="19"/>
        <v>0</v>
      </c>
      <c r="HO94" s="90">
        <f t="shared" si="19"/>
        <v>0</v>
      </c>
      <c r="HP94" s="90">
        <f t="shared" si="19"/>
        <v>0</v>
      </c>
      <c r="HQ94" s="90">
        <f t="shared" si="19"/>
        <v>0</v>
      </c>
      <c r="HR94" s="90">
        <f t="shared" si="19"/>
        <v>0</v>
      </c>
      <c r="HS94" s="90">
        <f t="shared" si="19"/>
        <v>0</v>
      </c>
      <c r="HT94" s="90">
        <f t="shared" si="19"/>
        <v>0</v>
      </c>
      <c r="HU94" s="90">
        <f t="shared" si="19"/>
        <v>0</v>
      </c>
      <c r="HV94" s="90">
        <f t="shared" si="19"/>
        <v>0</v>
      </c>
      <c r="HW94" s="90">
        <f t="shared" si="19"/>
        <v>0</v>
      </c>
      <c r="HX94" s="90">
        <f t="shared" si="19"/>
        <v>0</v>
      </c>
    </row>
    <row r="95" spans="1:232" ht="12.75" customHeight="1" x14ac:dyDescent="0.2">
      <c r="B95" s="157" t="s">
        <v>9</v>
      </c>
      <c r="E95" s="130">
        <f>(E28-F28)/E28/E142</f>
        <v>1.4925373134328357</v>
      </c>
      <c r="F95" s="111"/>
      <c r="I95" s="130">
        <f>(I28-J28)/I28/I142</f>
        <v>5.7231254128089624E-2</v>
      </c>
      <c r="J95" s="111"/>
      <c r="M95" s="130">
        <f>(M28-N28)/M28/M142</f>
        <v>6.1365358934565274E-2</v>
      </c>
      <c r="N95" s="111"/>
      <c r="Q95" s="130">
        <f>(Q28-R28)/Q28/Q142</f>
        <v>0.2059478302356455</v>
      </c>
      <c r="R95" s="130">
        <f>(R28-S28)/R28/R142</f>
        <v>0.28054618746151438</v>
      </c>
      <c r="S95" s="111"/>
      <c r="V95" s="130">
        <f>(V28-W28)/V28/V142</f>
        <v>0.26835821722389963</v>
      </c>
      <c r="W95" s="111"/>
      <c r="Z95" s="130">
        <f>(Z28-AA28)/Z28/Z142</f>
        <v>0.2790850964582422</v>
      </c>
      <c r="AA95" s="111"/>
      <c r="AD95" s="130">
        <f>(AD28-AE28)/AD28/AD142</f>
        <v>0.26784310410315343</v>
      </c>
      <c r="AE95" s="111"/>
      <c r="AH95" s="130">
        <f>(AH28-AI28)/AH28/AH142</f>
        <v>-0.14011580761238659</v>
      </c>
      <c r="AI95" s="111"/>
      <c r="AL95" s="130">
        <f>(AL28-AM28)/AL28/AL142</f>
        <v>1</v>
      </c>
      <c r="AM95" s="111"/>
      <c r="AP95" s="130">
        <f>(AP28-AQ28)/AP28/AP142</f>
        <v>0.77167585206132117</v>
      </c>
      <c r="AQ95" s="111"/>
      <c r="AT95" s="130">
        <f>(AT28-AU28)/AT28/AT142</f>
        <v>0.46481365445063261</v>
      </c>
      <c r="AU95" s="111"/>
      <c r="AX95" s="130">
        <f>(AX28-AY28)/AX28/AX142</f>
        <v>0.17528736121445124</v>
      </c>
      <c r="AY95" s="111"/>
      <c r="BB95" s="130">
        <f>(BB28-BC28)/BB28/BB142</f>
        <v>1</v>
      </c>
      <c r="BC95" s="111"/>
      <c r="BF95" s="130" t="e">
        <f>(BF28-BG28)/BF28/BF142</f>
        <v>#DIV/0!</v>
      </c>
      <c r="BG95" s="111"/>
      <c r="BJ95" s="130">
        <f>(BJ28-BK28)/BJ28/BJ142</f>
        <v>0.48792565204133037</v>
      </c>
      <c r="BK95" s="111"/>
      <c r="BN95" s="130">
        <f>(BN28-BO28)/BN28/BN142</f>
        <v>0.30387507823802112</v>
      </c>
      <c r="BO95" s="111"/>
      <c r="BR95" s="130">
        <f>(BR28-BS28)/BR28/BR142</f>
        <v>-9.2137780074008011E-2</v>
      </c>
      <c r="BS95" s="111"/>
      <c r="BV95" s="130">
        <f>(BV28-BW28)/BV28/BV142</f>
        <v>8.7043888408878528E-2</v>
      </c>
      <c r="BW95" s="111"/>
      <c r="BZ95" s="130">
        <f>(BZ28-CA28)/BZ28/BZ142</f>
        <v>0.16845558983151121</v>
      </c>
      <c r="CA95" s="111"/>
      <c r="CD95" s="130">
        <f>(CD28-CE28)/CD28/CD142</f>
        <v>0.17172753592456191</v>
      </c>
      <c r="CE95" s="111"/>
      <c r="CH95" s="130"/>
      <c r="CI95" s="111"/>
      <c r="CL95" s="130">
        <f>(CL28-CM28)/CL28/CL142</f>
        <v>0.1272625396749473</v>
      </c>
      <c r="CM95" s="111"/>
      <c r="CP95" s="130">
        <f>(CP28-CQ28)/CP28/CP142</f>
        <v>9.9110299564080753E-2</v>
      </c>
      <c r="CQ95" s="111"/>
      <c r="CT95" s="130">
        <f>(CT28-CU28)/CT28/CT142</f>
        <v>6.2191886844304357E-2</v>
      </c>
      <c r="CU95" s="111"/>
      <c r="CX95" s="130">
        <f>(CX28-CY28)/CX28/CX142</f>
        <v>0.12751664022090795</v>
      </c>
      <c r="CY95" s="130"/>
      <c r="DB95" s="130" t="e">
        <f>(DB28-DC28)/DB28/DB142</f>
        <v>#DIV/0!</v>
      </c>
      <c r="DC95" s="111"/>
      <c r="DF95" s="130">
        <f>(DF28-DG28)/DF28/DF142</f>
        <v>0.28652130025230438</v>
      </c>
      <c r="DG95" s="111"/>
      <c r="DJ95" s="130">
        <f>(DJ28-DK28)/DJ28/DJ142</f>
        <v>6.4499546346880335E-2</v>
      </c>
      <c r="DK95" s="130">
        <f>(DK28-DL28)/DK28/DK142</f>
        <v>1</v>
      </c>
      <c r="DL95" s="130" t="e">
        <f>(DL28-DM28)/DL28/DL142</f>
        <v>#DIV/0!</v>
      </c>
      <c r="DM95" s="130">
        <f>(DM28-DN28)/DM28/DM142</f>
        <v>3.2559200904479869E-2</v>
      </c>
      <c r="DN95" s="111"/>
      <c r="DQ95" s="130">
        <f>(DQ28-DR28)/DQ28/DQ142</f>
        <v>0.47426997839403634</v>
      </c>
      <c r="DR95" s="111"/>
      <c r="DU95" s="130">
        <f>(DU28-DV28)/DU28/DU142</f>
        <v>0.1247012753616267</v>
      </c>
      <c r="DV95" s="111"/>
    </row>
    <row r="96" spans="1:232" ht="12.75" customHeight="1" x14ac:dyDescent="0.2">
      <c r="B96" s="149" t="s">
        <v>279</v>
      </c>
      <c r="E96" s="130">
        <f t="shared" ref="E96:BP96" si="20">E36/E37</f>
        <v>7.5122622660247954E-2</v>
      </c>
      <c r="F96" s="130" t="e">
        <f t="shared" si="20"/>
        <v>#DIV/0!</v>
      </c>
      <c r="G96" s="130" t="e">
        <f t="shared" si="20"/>
        <v>#DIV/0!</v>
      </c>
      <c r="H96" s="131"/>
      <c r="I96" s="130">
        <f t="shared" si="20"/>
        <v>3.9757831151712815E-5</v>
      </c>
      <c r="J96" s="130">
        <f t="shared" si="20"/>
        <v>1.3762410828857825E-5</v>
      </c>
      <c r="K96" s="130" t="e">
        <f t="shared" si="20"/>
        <v>#DIV/0!</v>
      </c>
      <c r="L96" s="131"/>
      <c r="M96" s="130">
        <f t="shared" si="20"/>
        <v>0.14175965921872019</v>
      </c>
      <c r="N96" s="130">
        <f t="shared" si="20"/>
        <v>6.1299496300580819E-2</v>
      </c>
      <c r="O96" s="130" t="e">
        <f t="shared" si="20"/>
        <v>#DIV/0!</v>
      </c>
      <c r="P96" s="131"/>
      <c r="Q96" s="130">
        <f t="shared" si="20"/>
        <v>6.671355173963156E-2</v>
      </c>
      <c r="R96" s="130">
        <f t="shared" si="20"/>
        <v>6.3772469404512713E-2</v>
      </c>
      <c r="S96" s="130">
        <f t="shared" si="20"/>
        <v>7.3820067663360425E-2</v>
      </c>
      <c r="T96" s="130" t="e">
        <f t="shared" si="20"/>
        <v>#DIV/0!</v>
      </c>
      <c r="U96" s="131"/>
      <c r="V96" s="130">
        <f t="shared" si="20"/>
        <v>7.6858496953283686E-2</v>
      </c>
      <c r="W96" s="130">
        <f t="shared" si="20"/>
        <v>7.2437820574857259E-2</v>
      </c>
      <c r="X96" s="130" t="e">
        <f t="shared" si="20"/>
        <v>#DIV/0!</v>
      </c>
      <c r="Y96" s="131"/>
      <c r="Z96" s="130">
        <f t="shared" si="20"/>
        <v>0.11729364165160958</v>
      </c>
      <c r="AA96" s="130">
        <f t="shared" si="20"/>
        <v>0.12992031811828739</v>
      </c>
      <c r="AB96" s="130" t="e">
        <f t="shared" si="20"/>
        <v>#DIV/0!</v>
      </c>
      <c r="AC96" s="131"/>
      <c r="AD96" s="130">
        <f t="shared" si="20"/>
        <v>0.16760503879114208</v>
      </c>
      <c r="AE96" s="130">
        <f t="shared" si="20"/>
        <v>0.10934517102187771</v>
      </c>
      <c r="AF96" s="130" t="e">
        <f t="shared" si="20"/>
        <v>#DIV/0!</v>
      </c>
      <c r="AG96" s="131"/>
      <c r="AH96" s="130">
        <f t="shared" si="20"/>
        <v>7.5021103063451791E-2</v>
      </c>
      <c r="AI96" s="130">
        <f t="shared" si="20"/>
        <v>6.4679728838774028E-2</v>
      </c>
      <c r="AJ96" s="130" t="e">
        <f t="shared" si="20"/>
        <v>#DIV/0!</v>
      </c>
      <c r="AK96" s="131"/>
      <c r="AL96" s="130">
        <f t="shared" si="20"/>
        <v>1.7792237053196852E-2</v>
      </c>
      <c r="AM96" s="130">
        <f t="shared" si="20"/>
        <v>0</v>
      </c>
      <c r="AN96" s="130" t="e">
        <f t="shared" si="20"/>
        <v>#DIV/0!</v>
      </c>
      <c r="AO96" s="131"/>
      <c r="AP96" s="130">
        <f t="shared" si="20"/>
        <v>7.3211909018331814E-2</v>
      </c>
      <c r="AQ96" s="130">
        <f t="shared" si="20"/>
        <v>7.16064497056631E-2</v>
      </c>
      <c r="AR96" s="130" t="e">
        <f t="shared" si="20"/>
        <v>#DIV/0!</v>
      </c>
      <c r="AS96" s="131"/>
      <c r="AT96" s="130">
        <f t="shared" si="20"/>
        <v>0.11133410311853734</v>
      </c>
      <c r="AU96" s="130">
        <f t="shared" si="20"/>
        <v>0.10771176216767941</v>
      </c>
      <c r="AV96" s="130" t="e">
        <f t="shared" si="20"/>
        <v>#DIV/0!</v>
      </c>
      <c r="AW96" s="131"/>
      <c r="AX96" s="130">
        <f t="shared" si="20"/>
        <v>9.2666635927094523E-2</v>
      </c>
      <c r="AY96" s="130">
        <f t="shared" si="20"/>
        <v>9.4511103895613569E-2</v>
      </c>
      <c r="AZ96" s="130" t="e">
        <f t="shared" si="20"/>
        <v>#DIV/0!</v>
      </c>
      <c r="BA96" s="131"/>
      <c r="BB96" s="130">
        <f t="shared" si="20"/>
        <v>0.58326108655184294</v>
      </c>
      <c r="BC96" s="130" t="e">
        <f t="shared" si="20"/>
        <v>#DIV/0!</v>
      </c>
      <c r="BD96" s="130" t="e">
        <f t="shared" si="20"/>
        <v>#DIV/0!</v>
      </c>
      <c r="BE96" s="131"/>
      <c r="BF96" s="130" t="e">
        <f t="shared" si="20"/>
        <v>#DIV/0!</v>
      </c>
      <c r="BG96" s="130" t="e">
        <f t="shared" si="20"/>
        <v>#DIV/0!</v>
      </c>
      <c r="BH96" s="130" t="e">
        <f t="shared" si="20"/>
        <v>#DIV/0!</v>
      </c>
      <c r="BI96" s="131"/>
      <c r="BJ96" s="130">
        <f t="shared" si="20"/>
        <v>8.2687099323267151E-4</v>
      </c>
      <c r="BK96" s="130">
        <f t="shared" si="20"/>
        <v>3.6006798726099983E-4</v>
      </c>
      <c r="BL96" s="130" t="e">
        <f t="shared" si="20"/>
        <v>#DIV/0!</v>
      </c>
      <c r="BM96" s="131"/>
      <c r="BN96" s="130">
        <f t="shared" si="20"/>
        <v>0.25679197228942763</v>
      </c>
      <c r="BO96" s="130">
        <f t="shared" si="20"/>
        <v>5.8239099606144096E-2</v>
      </c>
      <c r="BP96" s="130" t="e">
        <f t="shared" si="20"/>
        <v>#DIV/0!</v>
      </c>
      <c r="BQ96" s="131"/>
      <c r="BR96" s="130">
        <f t="shared" ref="BR96:BS96" si="21">BR36/BR37</f>
        <v>0.15368847412440273</v>
      </c>
      <c r="BS96" s="130">
        <f t="shared" si="21"/>
        <v>0.1124446207247745</v>
      </c>
      <c r="BT96" s="130"/>
      <c r="BU96" s="131"/>
      <c r="BV96" s="130">
        <f>BV36/BV37</f>
        <v>0.12982369873645447</v>
      </c>
      <c r="BW96" s="130"/>
      <c r="BX96" s="130" t="e">
        <f t="shared" ref="BX96:DM96" si="22">BX36/BX37</f>
        <v>#DIV/0!</v>
      </c>
      <c r="BY96" s="131"/>
      <c r="BZ96" s="130">
        <f t="shared" si="22"/>
        <v>9.7043626040060116E-2</v>
      </c>
      <c r="CA96" s="130">
        <f t="shared" si="22"/>
        <v>9.2991620276318257E-2</v>
      </c>
      <c r="CB96" s="130" t="e">
        <f t="shared" si="22"/>
        <v>#DIV/0!</v>
      </c>
      <c r="CC96" s="131"/>
      <c r="CD96" s="130">
        <f t="shared" si="22"/>
        <v>7.7569250417753879E-2</v>
      </c>
      <c r="CE96" s="130">
        <f t="shared" si="22"/>
        <v>7.351215990426517E-2</v>
      </c>
      <c r="CF96" s="130" t="e">
        <f t="shared" si="22"/>
        <v>#DIV/0!</v>
      </c>
      <c r="CG96" s="131"/>
      <c r="CH96" s="130" t="e">
        <f t="shared" si="22"/>
        <v>#DIV/0!</v>
      </c>
      <c r="CI96" s="130" t="e">
        <f t="shared" si="22"/>
        <v>#DIV/0!</v>
      </c>
      <c r="CJ96" s="130" t="e">
        <f t="shared" si="22"/>
        <v>#DIV/0!</v>
      </c>
      <c r="CK96" s="131"/>
      <c r="CL96" s="130">
        <f t="shared" si="22"/>
        <v>6.4422822870429081E-2</v>
      </c>
      <c r="CM96" s="130">
        <f t="shared" si="22"/>
        <v>6.3167295541315949E-2</v>
      </c>
      <c r="CN96" s="130" t="e">
        <f t="shared" si="22"/>
        <v>#DIV/0!</v>
      </c>
      <c r="CO96" s="131"/>
      <c r="CP96" s="130">
        <f t="shared" si="22"/>
        <v>9.2195321595644961E-2</v>
      </c>
      <c r="CQ96" s="130">
        <f t="shared" si="22"/>
        <v>9.0116162997662425E-2</v>
      </c>
      <c r="CR96" s="130" t="e">
        <f t="shared" si="22"/>
        <v>#DIV/0!</v>
      </c>
      <c r="CS96" s="131"/>
      <c r="CT96" s="130">
        <f t="shared" si="22"/>
        <v>4.1860254289146248E-2</v>
      </c>
      <c r="CU96" s="130">
        <f t="shared" si="22"/>
        <v>5.1430962732197244E-2</v>
      </c>
      <c r="CV96" s="130" t="e">
        <f t="shared" si="22"/>
        <v>#DIV/0!</v>
      </c>
      <c r="CW96" s="131"/>
      <c r="CX96" s="130">
        <f t="shared" si="22"/>
        <v>0.40974195376823075</v>
      </c>
      <c r="CY96" s="130">
        <f t="shared" si="22"/>
        <v>0.29991789819376025</v>
      </c>
      <c r="CZ96" s="130" t="e">
        <f t="shared" si="22"/>
        <v>#DIV/0!</v>
      </c>
      <c r="DA96" s="131"/>
      <c r="DB96" s="130" t="e">
        <f t="shared" si="22"/>
        <v>#DIV/0!</v>
      </c>
      <c r="DC96" s="130" t="e">
        <f t="shared" si="22"/>
        <v>#DIV/0!</v>
      </c>
      <c r="DD96" s="130" t="e">
        <f t="shared" si="22"/>
        <v>#DIV/0!</v>
      </c>
      <c r="DE96" s="131"/>
      <c r="DF96" s="130">
        <f t="shared" si="22"/>
        <v>0.14535501223847527</v>
      </c>
      <c r="DG96" s="130">
        <f t="shared" si="22"/>
        <v>0.15419953928934754</v>
      </c>
      <c r="DH96" s="130" t="e">
        <f t="shared" si="22"/>
        <v>#DIV/0!</v>
      </c>
      <c r="DI96" s="131"/>
      <c r="DJ96" s="130">
        <f t="shared" si="22"/>
        <v>6.2537023227618463E-2</v>
      </c>
      <c r="DK96" s="130">
        <f t="shared" si="22"/>
        <v>6.5847504199974441E-2</v>
      </c>
      <c r="DL96" s="130" t="e">
        <f t="shared" si="22"/>
        <v>#DIV/0!</v>
      </c>
      <c r="DM96" s="130">
        <f t="shared" si="22"/>
        <v>7.0826776374762465E-2</v>
      </c>
      <c r="DN96" s="130">
        <f>DN36/DN37</f>
        <v>9.0118255683822451E-2</v>
      </c>
      <c r="DO96" s="130" t="e">
        <f>DO36/DO37</f>
        <v>#DIV/0!</v>
      </c>
      <c r="DP96" s="131"/>
      <c r="DQ96" s="130">
        <f>DQ36/DQ37</f>
        <v>8.9176191073886218E-2</v>
      </c>
      <c r="DR96" s="130">
        <f>DR36/DR37</f>
        <v>0.1409573177874302</v>
      </c>
      <c r="DS96" s="130" t="e">
        <f>DS36/DS37</f>
        <v>#DIV/0!</v>
      </c>
      <c r="DT96" s="131"/>
      <c r="DU96" s="130">
        <f>DU36/DU37</f>
        <v>0.15401790102294982</v>
      </c>
      <c r="DV96" s="130">
        <f>DV36/DV37</f>
        <v>0.15331652660572173</v>
      </c>
      <c r="FV96" s="130" t="e">
        <f t="shared" ref="FV96:HX96" si="23">FV36/FV37</f>
        <v>#DIV/0!</v>
      </c>
      <c r="FW96" s="130" t="e">
        <f t="shared" si="23"/>
        <v>#DIV/0!</v>
      </c>
      <c r="FX96" s="130" t="e">
        <f t="shared" si="23"/>
        <v>#DIV/0!</v>
      </c>
      <c r="FY96" s="130" t="e">
        <f t="shared" si="23"/>
        <v>#DIV/0!</v>
      </c>
      <c r="FZ96" s="130" t="e">
        <f t="shared" si="23"/>
        <v>#DIV/0!</v>
      </c>
      <c r="GA96" s="130" t="e">
        <f t="shared" si="23"/>
        <v>#DIV/0!</v>
      </c>
      <c r="GB96" s="130" t="e">
        <f t="shared" si="23"/>
        <v>#DIV/0!</v>
      </c>
      <c r="GC96" s="130" t="e">
        <f t="shared" si="23"/>
        <v>#DIV/0!</v>
      </c>
      <c r="GD96" s="130" t="e">
        <f t="shared" si="23"/>
        <v>#DIV/0!</v>
      </c>
      <c r="GE96" s="130" t="e">
        <f t="shared" si="23"/>
        <v>#DIV/0!</v>
      </c>
      <c r="GF96" s="130" t="e">
        <f t="shared" si="23"/>
        <v>#DIV/0!</v>
      </c>
      <c r="GG96" s="130" t="e">
        <f t="shared" si="23"/>
        <v>#DIV/0!</v>
      </c>
      <c r="GH96" s="130" t="e">
        <f t="shared" si="23"/>
        <v>#DIV/0!</v>
      </c>
      <c r="GI96" s="130" t="e">
        <f t="shared" si="23"/>
        <v>#DIV/0!</v>
      </c>
      <c r="GJ96" s="130" t="e">
        <f t="shared" si="23"/>
        <v>#DIV/0!</v>
      </c>
      <c r="GK96" s="130" t="e">
        <f t="shared" si="23"/>
        <v>#DIV/0!</v>
      </c>
      <c r="GL96" s="130" t="e">
        <f t="shared" si="23"/>
        <v>#DIV/0!</v>
      </c>
      <c r="GM96" s="130" t="e">
        <f t="shared" si="23"/>
        <v>#DIV/0!</v>
      </c>
      <c r="GN96" s="130" t="e">
        <f t="shared" si="23"/>
        <v>#DIV/0!</v>
      </c>
      <c r="GO96" s="130" t="e">
        <f t="shared" si="23"/>
        <v>#DIV/0!</v>
      </c>
      <c r="GP96" s="130" t="e">
        <f t="shared" si="23"/>
        <v>#DIV/0!</v>
      </c>
      <c r="GQ96" s="130" t="e">
        <f t="shared" si="23"/>
        <v>#DIV/0!</v>
      </c>
      <c r="GR96" s="130" t="e">
        <f t="shared" si="23"/>
        <v>#DIV/0!</v>
      </c>
      <c r="GS96" s="130" t="e">
        <f t="shared" si="23"/>
        <v>#DIV/0!</v>
      </c>
      <c r="GT96" s="130" t="e">
        <f t="shared" si="23"/>
        <v>#DIV/0!</v>
      </c>
      <c r="GU96" s="130" t="e">
        <f t="shared" si="23"/>
        <v>#DIV/0!</v>
      </c>
      <c r="GV96" s="130" t="e">
        <f t="shared" si="23"/>
        <v>#DIV/0!</v>
      </c>
      <c r="GW96" s="130" t="e">
        <f t="shared" si="23"/>
        <v>#DIV/0!</v>
      </c>
      <c r="GX96" s="130" t="e">
        <f t="shared" si="23"/>
        <v>#DIV/0!</v>
      </c>
      <c r="GY96" s="130" t="e">
        <f t="shared" si="23"/>
        <v>#DIV/0!</v>
      </c>
      <c r="GZ96" s="130" t="e">
        <f t="shared" si="23"/>
        <v>#DIV/0!</v>
      </c>
      <c r="HA96" s="130" t="e">
        <f t="shared" si="23"/>
        <v>#DIV/0!</v>
      </c>
      <c r="HB96" s="130" t="e">
        <f t="shared" si="23"/>
        <v>#DIV/0!</v>
      </c>
      <c r="HC96" s="130" t="e">
        <f t="shared" si="23"/>
        <v>#DIV/0!</v>
      </c>
      <c r="HD96" s="130" t="e">
        <f t="shared" si="23"/>
        <v>#DIV/0!</v>
      </c>
      <c r="HE96" s="130" t="e">
        <f t="shared" si="23"/>
        <v>#DIV/0!</v>
      </c>
      <c r="HF96" s="130" t="e">
        <f t="shared" si="23"/>
        <v>#DIV/0!</v>
      </c>
      <c r="HG96" s="130" t="e">
        <f t="shared" si="23"/>
        <v>#DIV/0!</v>
      </c>
      <c r="HH96" s="130" t="e">
        <f t="shared" si="23"/>
        <v>#DIV/0!</v>
      </c>
      <c r="HI96" s="130" t="e">
        <f t="shared" si="23"/>
        <v>#DIV/0!</v>
      </c>
      <c r="HJ96" s="130" t="e">
        <f t="shared" si="23"/>
        <v>#DIV/0!</v>
      </c>
      <c r="HK96" s="130" t="e">
        <f t="shared" si="23"/>
        <v>#DIV/0!</v>
      </c>
      <c r="HL96" s="130" t="e">
        <f t="shared" si="23"/>
        <v>#DIV/0!</v>
      </c>
      <c r="HM96" s="130" t="e">
        <f t="shared" si="23"/>
        <v>#DIV/0!</v>
      </c>
      <c r="HN96" s="130" t="e">
        <f t="shared" si="23"/>
        <v>#DIV/0!</v>
      </c>
      <c r="HO96" s="130" t="e">
        <f t="shared" si="23"/>
        <v>#DIV/0!</v>
      </c>
      <c r="HP96" s="130" t="e">
        <f t="shared" si="23"/>
        <v>#DIV/0!</v>
      </c>
      <c r="HQ96" s="130" t="e">
        <f t="shared" si="23"/>
        <v>#DIV/0!</v>
      </c>
      <c r="HR96" s="130" t="e">
        <f t="shared" si="23"/>
        <v>#DIV/0!</v>
      </c>
      <c r="HS96" s="130" t="e">
        <f t="shared" si="23"/>
        <v>#DIV/0!</v>
      </c>
      <c r="HT96" s="130" t="e">
        <f t="shared" si="23"/>
        <v>#DIV/0!</v>
      </c>
      <c r="HU96" s="130" t="e">
        <f t="shared" si="23"/>
        <v>#DIV/0!</v>
      </c>
      <c r="HV96" s="130" t="e">
        <f t="shared" si="23"/>
        <v>#DIV/0!</v>
      </c>
      <c r="HW96" s="130" t="e">
        <f t="shared" si="23"/>
        <v>#DIV/0!</v>
      </c>
      <c r="HX96" s="130" t="e">
        <f t="shared" si="23"/>
        <v>#DIV/0!</v>
      </c>
    </row>
    <row r="97" spans="1:232" ht="12.75" customHeight="1" x14ac:dyDescent="0.2">
      <c r="B97" s="157" t="s">
        <v>280</v>
      </c>
      <c r="E97" s="130">
        <f>E28/E30</f>
        <v>0.61793138418087945</v>
      </c>
      <c r="F97" s="150"/>
      <c r="I97" s="130">
        <f>I28/I30</f>
        <v>3.3578597284807837E-4</v>
      </c>
      <c r="J97" s="150"/>
      <c r="M97" s="130">
        <f>M28/M30</f>
        <v>0.31557576603178311</v>
      </c>
      <c r="N97" s="150"/>
      <c r="Q97" s="130">
        <f>Q28/Q30</f>
        <v>0.94176483228818697</v>
      </c>
      <c r="R97" s="130">
        <f>R28/R30</f>
        <v>0.96682088368450059</v>
      </c>
      <c r="S97" s="150"/>
      <c r="V97" s="130">
        <f>V28/V30</f>
        <v>0.73326337169939071</v>
      </c>
      <c r="W97" s="150"/>
      <c r="Z97" s="130">
        <f>Z28/Z30</f>
        <v>0.99515548590057168</v>
      </c>
      <c r="AA97" s="150"/>
      <c r="AD97" s="130">
        <f>AD28/AD30</f>
        <v>0.96583808799465654</v>
      </c>
      <c r="AE97" s="150"/>
      <c r="AH97" s="130">
        <f>AH28/AH30</f>
        <v>0.36306009370450193</v>
      </c>
      <c r="AI97" s="150"/>
      <c r="AL97" s="130">
        <f>AL28/AL30</f>
        <v>0.95863287269055442</v>
      </c>
      <c r="AM97" s="150"/>
      <c r="AP97" s="130">
        <f>AP28/AP30</f>
        <v>0.91997919618111124</v>
      </c>
      <c r="AQ97" s="150"/>
      <c r="AT97" s="130">
        <f>AT28/AT30</f>
        <v>0.93284228945512526</v>
      </c>
      <c r="AU97" s="150"/>
      <c r="AX97" s="130">
        <f>AX28/AX30</f>
        <v>0.77375060106841975</v>
      </c>
      <c r="AY97" s="150"/>
      <c r="BB97" s="130">
        <f>BB28/BB30</f>
        <v>0.7716683699814324</v>
      </c>
      <c r="BC97" s="150"/>
      <c r="BF97" s="130" t="e">
        <f>BF28/BF30</f>
        <v>#DIV/0!</v>
      </c>
      <c r="BG97" s="150"/>
      <c r="BJ97" s="130">
        <f>BJ28/BJ30</f>
        <v>0.99792853809254223</v>
      </c>
      <c r="BK97" s="150"/>
      <c r="BN97" s="130">
        <f>BN28/BN30</f>
        <v>0.83321946988247753</v>
      </c>
      <c r="BO97" s="150"/>
      <c r="BR97" s="130">
        <f>BR28/BR30</f>
        <v>0.98711035223356514</v>
      </c>
      <c r="BS97" s="150"/>
      <c r="BV97" s="130">
        <f>BV28/BV30</f>
        <v>0.80392683293788259</v>
      </c>
      <c r="BW97" s="150"/>
      <c r="BZ97" s="130">
        <f>BZ28/BZ30</f>
        <v>0.81362417360040085</v>
      </c>
      <c r="CA97" s="150"/>
      <c r="CD97" s="130">
        <f>CD28/CD30</f>
        <v>0.77747160466292364</v>
      </c>
      <c r="CE97" s="150"/>
      <c r="CH97" s="130"/>
      <c r="CI97" s="150"/>
      <c r="CL97" s="130">
        <f>CL28/CL30</f>
        <v>0.96666600612978226</v>
      </c>
      <c r="CM97" s="150"/>
      <c r="CP97" s="130">
        <f>CP28/CP30</f>
        <v>0.95304424960169243</v>
      </c>
      <c r="CQ97" s="150"/>
      <c r="CT97" s="130">
        <f>CT28/CT30</f>
        <v>0.80820887065702696</v>
      </c>
      <c r="CU97" s="150"/>
      <c r="CX97" s="130">
        <f>CX28/CX30</f>
        <v>0.35263896054821198</v>
      </c>
      <c r="CY97" s="130"/>
      <c r="DB97" s="130" t="e">
        <f>DB28/DB30</f>
        <v>#DIV/0!</v>
      </c>
      <c r="DC97" s="150"/>
      <c r="DF97" s="130">
        <f>DF28/DF30</f>
        <v>0.78888655321986034</v>
      </c>
      <c r="DG97" s="150"/>
      <c r="DJ97" s="130">
        <f>DJ28/DJ30</f>
        <v>0.71417156867100551</v>
      </c>
      <c r="DK97" s="130">
        <f>DK28/DK30</f>
        <v>0.69626378636418007</v>
      </c>
      <c r="DL97" s="130" t="e">
        <f>DL28/DL30</f>
        <v>#DIV/0!</v>
      </c>
      <c r="DM97" s="130">
        <f>DM28/DM30</f>
        <v>0.66304523657261127</v>
      </c>
      <c r="DN97" s="150"/>
      <c r="DQ97" s="130">
        <f>DQ28/DQ30</f>
        <v>0.28789044919094836</v>
      </c>
      <c r="DR97" s="150"/>
      <c r="DU97" s="130">
        <f>DU28/DU30</f>
        <v>0.55717446365255663</v>
      </c>
      <c r="DV97" s="150"/>
    </row>
    <row r="98" spans="1:232" ht="12.75" customHeight="1" x14ac:dyDescent="0.2">
      <c r="A98" s="162"/>
      <c r="B98" s="163"/>
      <c r="C98" s="91"/>
      <c r="D98" s="92"/>
      <c r="E98" s="85"/>
      <c r="F98" s="85"/>
      <c r="G98" s="91"/>
      <c r="H98" s="92"/>
      <c r="I98" s="85"/>
      <c r="J98" s="85"/>
      <c r="K98" s="91"/>
      <c r="L98" s="92"/>
      <c r="M98" s="85"/>
      <c r="N98" s="85"/>
      <c r="O98" s="91"/>
      <c r="P98" s="92"/>
      <c r="Q98" s="85"/>
      <c r="S98" s="85"/>
      <c r="T98" s="91"/>
      <c r="U98" s="92"/>
      <c r="V98" s="84"/>
      <c r="W98" s="85"/>
      <c r="X98" s="91"/>
      <c r="Y98" s="92"/>
      <c r="Z98" s="85"/>
      <c r="AA98" s="85"/>
      <c r="AB98" s="91"/>
      <c r="AC98" s="92"/>
      <c r="AD98" s="85"/>
      <c r="AE98" s="85"/>
      <c r="AF98" s="91"/>
      <c r="AG98" s="92"/>
      <c r="AH98" s="85"/>
      <c r="AI98" s="85"/>
      <c r="AJ98" s="91"/>
      <c r="AK98" s="92"/>
      <c r="AL98" s="85"/>
      <c r="AM98" s="85"/>
      <c r="AN98" s="91"/>
      <c r="AO98" s="92"/>
      <c r="AP98" s="85"/>
      <c r="AQ98" s="85"/>
      <c r="AR98" s="91"/>
      <c r="AS98" s="92"/>
      <c r="AT98" s="85"/>
      <c r="AU98" s="85"/>
      <c r="AV98" s="91"/>
      <c r="AW98" s="92"/>
      <c r="AX98" s="85"/>
      <c r="AY98" s="85"/>
      <c r="AZ98" s="91"/>
      <c r="BA98" s="92"/>
      <c r="BB98" s="85"/>
      <c r="BC98" s="85"/>
      <c r="BD98" s="91"/>
      <c r="BE98" s="92"/>
      <c r="BF98" s="85"/>
      <c r="BG98" s="85"/>
      <c r="BH98" s="91"/>
      <c r="BI98" s="92"/>
      <c r="BJ98" s="85"/>
      <c r="BK98" s="85"/>
      <c r="BL98" s="91"/>
      <c r="BM98" s="92"/>
      <c r="BN98" s="85"/>
      <c r="BO98" s="85"/>
      <c r="BP98" s="91"/>
      <c r="BQ98" s="92"/>
      <c r="BR98" s="85"/>
      <c r="BS98" s="85"/>
      <c r="BT98" s="91"/>
      <c r="BU98" s="92"/>
      <c r="BV98" s="85"/>
      <c r="BW98" s="85"/>
      <c r="BX98" s="91"/>
      <c r="BY98" s="92"/>
      <c r="BZ98" s="85"/>
      <c r="CA98" s="85"/>
      <c r="CB98" s="91"/>
      <c r="CC98" s="92"/>
      <c r="CD98" s="85"/>
      <c r="CE98" s="85"/>
      <c r="CF98" s="91"/>
      <c r="CG98" s="92"/>
      <c r="CH98" s="85"/>
      <c r="CI98" s="85"/>
      <c r="CJ98" s="91"/>
      <c r="CK98" s="92"/>
      <c r="CL98" s="85"/>
      <c r="CM98" s="85"/>
      <c r="CN98" s="91"/>
      <c r="CO98" s="92"/>
      <c r="CP98" s="85"/>
      <c r="CQ98" s="85"/>
      <c r="CR98" s="91"/>
      <c r="CS98" s="92"/>
      <c r="CT98" s="85"/>
      <c r="CU98" s="85"/>
      <c r="CV98" s="91"/>
      <c r="CW98" s="92"/>
      <c r="CX98" s="85"/>
      <c r="CY98" s="85"/>
      <c r="CZ98" s="91"/>
      <c r="DA98" s="92"/>
      <c r="DB98" s="85"/>
      <c r="DC98" s="85"/>
      <c r="DD98" s="91"/>
      <c r="DE98" s="92"/>
      <c r="DF98" s="85"/>
      <c r="DG98" s="85"/>
      <c r="DH98" s="91"/>
      <c r="DI98" s="92"/>
      <c r="DJ98" s="85"/>
      <c r="DK98" s="85"/>
      <c r="DL98" s="85"/>
      <c r="DM98" s="85"/>
      <c r="DN98" s="85"/>
      <c r="DO98" s="91"/>
      <c r="DP98" s="92"/>
      <c r="DQ98" s="85"/>
      <c r="DR98" s="85"/>
      <c r="DS98" s="91"/>
      <c r="DT98" s="92"/>
      <c r="DU98" s="85"/>
      <c r="DV98" s="85"/>
    </row>
    <row r="99" spans="1:232" ht="12.75" customHeight="1" x14ac:dyDescent="0.2">
      <c r="A99" s="148" t="s">
        <v>281</v>
      </c>
      <c r="B99" s="148"/>
      <c r="C99" s="91"/>
      <c r="D99" s="92"/>
      <c r="E99" s="85"/>
      <c r="F99" s="85"/>
      <c r="G99" s="91"/>
      <c r="H99" s="92"/>
      <c r="I99" s="85"/>
      <c r="J99" s="85"/>
      <c r="K99" s="91"/>
      <c r="L99" s="92"/>
      <c r="M99" s="85"/>
      <c r="N99" s="85"/>
      <c r="O99" s="91"/>
      <c r="P99" s="92"/>
      <c r="Q99" s="85"/>
      <c r="S99" s="85"/>
      <c r="T99" s="91"/>
      <c r="U99" s="92"/>
      <c r="V99" s="84"/>
      <c r="W99" s="85"/>
      <c r="X99" s="91"/>
      <c r="Y99" s="92"/>
      <c r="Z99" s="85"/>
      <c r="AA99" s="85"/>
      <c r="AB99" s="91"/>
      <c r="AC99" s="92"/>
      <c r="AD99" s="85"/>
      <c r="AE99" s="85"/>
      <c r="AF99" s="91"/>
      <c r="AG99" s="92"/>
      <c r="AH99" s="85"/>
      <c r="AI99" s="85"/>
      <c r="AJ99" s="91"/>
      <c r="AK99" s="92"/>
      <c r="AL99" s="85"/>
      <c r="AM99" s="85"/>
      <c r="AN99" s="91"/>
      <c r="AO99" s="92"/>
      <c r="AP99" s="85"/>
      <c r="AQ99" s="85"/>
      <c r="AR99" s="91"/>
      <c r="AS99" s="92"/>
      <c r="AT99" s="85"/>
      <c r="AU99" s="85"/>
      <c r="AV99" s="91"/>
      <c r="AW99" s="92"/>
      <c r="AX99" s="85"/>
      <c r="AY99" s="85"/>
      <c r="AZ99" s="91"/>
      <c r="BA99" s="92"/>
      <c r="BB99" s="85"/>
      <c r="BC99" s="85"/>
      <c r="BD99" s="91"/>
      <c r="BE99" s="92"/>
      <c r="BF99" s="85"/>
      <c r="BG99" s="85"/>
      <c r="BH99" s="91"/>
      <c r="BI99" s="92"/>
      <c r="BJ99" s="85"/>
      <c r="BK99" s="85"/>
      <c r="BL99" s="91"/>
      <c r="BM99" s="92"/>
      <c r="BN99" s="85"/>
      <c r="BO99" s="85"/>
      <c r="BP99" s="91"/>
      <c r="BQ99" s="92"/>
      <c r="BR99" s="85"/>
      <c r="BS99" s="85"/>
      <c r="BT99" s="91"/>
      <c r="BU99" s="92"/>
      <c r="BV99" s="85"/>
      <c r="BW99" s="85"/>
      <c r="BX99" s="91"/>
      <c r="BY99" s="92"/>
      <c r="BZ99" s="85"/>
      <c r="CA99" s="85"/>
      <c r="CB99" s="91"/>
      <c r="CC99" s="92"/>
      <c r="CD99" s="85"/>
      <c r="CE99" s="85"/>
      <c r="CF99" s="91"/>
      <c r="CG99" s="92"/>
      <c r="CH99" s="85"/>
      <c r="CI99" s="85"/>
      <c r="CJ99" s="91"/>
      <c r="CK99" s="92"/>
      <c r="CL99" s="85"/>
      <c r="CM99" s="85"/>
      <c r="CN99" s="91"/>
      <c r="CO99" s="92"/>
      <c r="CP99" s="85"/>
      <c r="CQ99" s="85"/>
      <c r="CR99" s="91"/>
      <c r="CS99" s="92"/>
      <c r="CT99" s="85"/>
      <c r="CU99" s="85"/>
      <c r="CV99" s="91"/>
      <c r="CW99" s="92"/>
      <c r="CX99" s="85"/>
      <c r="CY99" s="85"/>
      <c r="CZ99" s="91"/>
      <c r="DA99" s="92"/>
      <c r="DB99" s="85"/>
      <c r="DC99" s="85"/>
      <c r="DD99" s="91"/>
      <c r="DE99" s="92"/>
      <c r="DF99" s="85"/>
      <c r="DG99" s="85"/>
      <c r="DH99" s="91"/>
      <c r="DI99" s="92"/>
      <c r="DJ99" s="85"/>
      <c r="DK99" s="85"/>
      <c r="DL99" s="85"/>
      <c r="DM99" s="85"/>
      <c r="DN99" s="85"/>
      <c r="DO99" s="91"/>
      <c r="DP99" s="92"/>
      <c r="DQ99" s="85"/>
      <c r="DR99" s="85"/>
      <c r="DS99" s="91"/>
      <c r="DT99" s="92"/>
      <c r="DU99" s="85"/>
      <c r="DV99" s="85"/>
    </row>
    <row r="100" spans="1:232" ht="12.75" customHeight="1" x14ac:dyDescent="0.2">
      <c r="B100" s="165" t="s">
        <v>282</v>
      </c>
      <c r="E100" s="130">
        <f>E57/E28</f>
        <v>0</v>
      </c>
      <c r="F100" s="150"/>
      <c r="I100" s="130">
        <f>I57/I28</f>
        <v>2977.0874749417717</v>
      </c>
      <c r="J100" s="150"/>
      <c r="M100" s="130">
        <f>M57/M28</f>
        <v>0</v>
      </c>
      <c r="N100" s="150"/>
      <c r="Q100" s="130">
        <f>Q57/Q28</f>
        <v>0</v>
      </c>
      <c r="R100" s="130">
        <f>R57/R28</f>
        <v>0</v>
      </c>
      <c r="S100" s="150"/>
      <c r="V100" s="130">
        <f>V57/V28</f>
        <v>1.2552745537981404E-3</v>
      </c>
      <c r="W100" s="150"/>
      <c r="Z100" s="130">
        <f>Z57/Z28</f>
        <v>0</v>
      </c>
      <c r="AA100" s="150"/>
      <c r="AD100" s="130">
        <f>AD57/AD28</f>
        <v>2.6847783604716327E-3</v>
      </c>
      <c r="AE100" s="150"/>
      <c r="AH100" s="130">
        <f>AH57/AH28</f>
        <v>0</v>
      </c>
      <c r="AI100" s="150"/>
      <c r="AL100" s="130">
        <f>AL57/AL28</f>
        <v>0</v>
      </c>
      <c r="AM100" s="150"/>
      <c r="AP100" s="130">
        <f>AP57/AP28</f>
        <v>0</v>
      </c>
      <c r="AQ100" s="150"/>
      <c r="AT100" s="130">
        <f>AT57/AT28</f>
        <v>4.6075721589597263E-3</v>
      </c>
      <c r="AU100" s="150"/>
      <c r="AX100" s="130">
        <f>AX57/AX28</f>
        <v>0</v>
      </c>
      <c r="AY100" s="150"/>
      <c r="BB100" s="130">
        <f>BB57/BB28</f>
        <v>0</v>
      </c>
      <c r="BC100" s="150"/>
      <c r="BF100" s="130" t="e">
        <f>BF57/BF28</f>
        <v>#DIV/0!</v>
      </c>
      <c r="BG100" s="150"/>
      <c r="BJ100" s="130">
        <f>BJ57/BJ28</f>
        <v>0</v>
      </c>
      <c r="BK100" s="150"/>
      <c r="BN100" s="130">
        <f>BN57/BN28</f>
        <v>0</v>
      </c>
      <c r="BO100" s="150"/>
      <c r="BR100" s="130">
        <f>BR57/BR28</f>
        <v>0</v>
      </c>
      <c r="BS100" s="150"/>
      <c r="BV100" s="130">
        <f>BV57/BV28</f>
        <v>0</v>
      </c>
      <c r="BW100" s="150"/>
      <c r="BZ100" s="130">
        <f>BZ57/BZ28</f>
        <v>0</v>
      </c>
      <c r="CA100" s="150"/>
      <c r="CD100" s="130">
        <f>CD57/CD28</f>
        <v>3.1165396451141036E-2</v>
      </c>
      <c r="CE100" s="150"/>
      <c r="CH100" s="130"/>
      <c r="CI100" s="150"/>
      <c r="CL100" s="130">
        <f>CL57/CL28</f>
        <v>0</v>
      </c>
      <c r="CM100" s="150"/>
      <c r="CP100" s="130">
        <f>CP57/CP28</f>
        <v>0</v>
      </c>
      <c r="CQ100" s="150"/>
      <c r="CT100" s="130">
        <f>CT57/CT28</f>
        <v>1.1497282715377756E-2</v>
      </c>
      <c r="CU100" s="150"/>
      <c r="CX100" s="130">
        <f>CX57/CX28</f>
        <v>0</v>
      </c>
      <c r="CY100" s="130"/>
      <c r="DB100" s="130" t="e">
        <f>DB57/DB28</f>
        <v>#DIV/0!</v>
      </c>
      <c r="DC100" s="150"/>
      <c r="DF100" s="130">
        <f>DF57/DF28</f>
        <v>0</v>
      </c>
      <c r="DG100" s="150"/>
      <c r="DJ100" s="130">
        <f>DJ57/DJ28</f>
        <v>0.91689644319023955</v>
      </c>
      <c r="DK100" s="130">
        <f>DK57/DK28</f>
        <v>0.80257195747305043</v>
      </c>
      <c r="DL100" s="130" t="e">
        <f>DL57/DL28</f>
        <v>#DIV/0!</v>
      </c>
      <c r="DM100" s="130">
        <f>DM57/DM28</f>
        <v>1.3727499580353011</v>
      </c>
      <c r="DN100" s="150"/>
      <c r="DQ100" s="130">
        <f>DQ57/DQ28</f>
        <v>0.36799682142546453</v>
      </c>
      <c r="DR100" s="150"/>
      <c r="DU100" s="130">
        <f>DU57/DU28</f>
        <v>0.13445919784546884</v>
      </c>
      <c r="DV100" s="150"/>
    </row>
    <row r="101" spans="1:232" ht="12.75" customHeight="1" x14ac:dyDescent="0.2">
      <c r="B101" s="166" t="s">
        <v>283</v>
      </c>
      <c r="E101" s="130">
        <f>E54/SUM(E14+E7)</f>
        <v>0</v>
      </c>
      <c r="F101" s="150"/>
      <c r="I101" s="130">
        <f>I54/SUM(I14+I7)</f>
        <v>0</v>
      </c>
      <c r="J101" s="150"/>
      <c r="M101" s="130">
        <f>M54/SUM(M14+M7)</f>
        <v>0</v>
      </c>
      <c r="N101" s="150"/>
      <c r="Q101" s="130">
        <f>Q54/SUM(Q14+Q7)</f>
        <v>0</v>
      </c>
      <c r="R101" s="130">
        <f>R54/SUM(R14+R7)</f>
        <v>0</v>
      </c>
      <c r="S101" s="150"/>
      <c r="V101" s="130">
        <f>V54/SUM(V14+V7)</f>
        <v>0</v>
      </c>
      <c r="W101" s="150"/>
      <c r="Z101" s="130">
        <f>Z54/SUM(Z14+Z7)</f>
        <v>0</v>
      </c>
      <c r="AA101" s="150"/>
      <c r="AD101" s="130">
        <f>AD54/SUM(AD14+AD7)</f>
        <v>0</v>
      </c>
      <c r="AE101" s="150"/>
      <c r="AH101" s="130">
        <f>AH54/SUM(AH14+AH7)</f>
        <v>0</v>
      </c>
      <c r="AI101" s="150"/>
      <c r="AL101" s="130" t="e">
        <f>AL54/SUM(AL14+AL7)</f>
        <v>#DIV/0!</v>
      </c>
      <c r="AM101" s="150"/>
      <c r="AP101" s="130">
        <f>AP54/SUM(AP14+AP7)</f>
        <v>0</v>
      </c>
      <c r="AQ101" s="150"/>
      <c r="AT101" s="130">
        <f>AT54/SUM(AT14+AT7)</f>
        <v>0</v>
      </c>
      <c r="AU101" s="150"/>
      <c r="AX101" s="130">
        <f>AX54/SUM(AX14+AX7)</f>
        <v>0</v>
      </c>
      <c r="AY101" s="150"/>
      <c r="BB101" s="130">
        <f>BB54/SUM(BB14+BB7)</f>
        <v>0</v>
      </c>
      <c r="BC101" s="150"/>
      <c r="BF101" s="130" t="e">
        <f>BF54/SUM(BF14+BF7)</f>
        <v>#DIV/0!</v>
      </c>
      <c r="BG101" s="150"/>
      <c r="BJ101" s="130">
        <f>BJ54/SUM(BJ14+BJ7)</f>
        <v>0</v>
      </c>
      <c r="BK101" s="150"/>
      <c r="BN101" s="130">
        <f>BN54/SUM(BN14+BN7)</f>
        <v>0</v>
      </c>
      <c r="BO101" s="150"/>
      <c r="BR101" s="130">
        <f>BR54/SUM(BR14+BR7)</f>
        <v>0</v>
      </c>
      <c r="BS101" s="150"/>
      <c r="BV101" s="130">
        <f>BV54/SUM(BV14+BV7)</f>
        <v>0</v>
      </c>
      <c r="BW101" s="150"/>
      <c r="BZ101" s="130">
        <f>BZ54/SUM(BZ14+BZ7)</f>
        <v>0</v>
      </c>
      <c r="CA101" s="150"/>
      <c r="CD101" s="130">
        <f>CD54/SUM(CD14+CD7)</f>
        <v>0</v>
      </c>
      <c r="CE101" s="150"/>
      <c r="CH101" s="130"/>
      <c r="CI101" s="150"/>
      <c r="CL101" s="130">
        <f>CL54/SUM(CL14+CL7)</f>
        <v>0</v>
      </c>
      <c r="CM101" s="150"/>
      <c r="CP101" s="130">
        <f>CP54/SUM(CP14+CP7)</f>
        <v>0</v>
      </c>
      <c r="CQ101" s="150"/>
      <c r="CT101" s="130">
        <f>CT54/SUM(CT14+CT7)</f>
        <v>0</v>
      </c>
      <c r="CU101" s="150"/>
      <c r="CX101" s="130">
        <f>CX54/SUM(CX14+CX7)</f>
        <v>0</v>
      </c>
      <c r="CY101" s="130"/>
      <c r="DB101" s="130" t="e">
        <f>DB54/SUM(DB14+DB7)</f>
        <v>#DIV/0!</v>
      </c>
      <c r="DC101" s="150"/>
      <c r="DF101" s="130">
        <f>DF54/SUM(DF14+DF7)</f>
        <v>3.0153882075738404E-3</v>
      </c>
      <c r="DG101" s="150"/>
      <c r="DJ101" s="130">
        <f>DJ54/SUM(DJ14+DJ7)</f>
        <v>0.90530438472283803</v>
      </c>
      <c r="DK101" s="130">
        <f>DK54/SUM(DK14+DK7)</f>
        <v>0.89489782628429193</v>
      </c>
      <c r="DL101" s="130" t="e">
        <f>DL54/SUM(DL14+DL7)</f>
        <v>#DIV/0!</v>
      </c>
      <c r="DM101" s="130">
        <f>DM54/SUM(DM14+DM7)</f>
        <v>0</v>
      </c>
      <c r="DN101" s="150"/>
      <c r="DQ101" s="130">
        <f>DQ54/SUM(DQ14+DQ7)</f>
        <v>0.19708108984971986</v>
      </c>
      <c r="DR101" s="150"/>
      <c r="DU101" s="130">
        <f>DU54/SUM(DU14+DU7)</f>
        <v>1.9847048183356013E-2</v>
      </c>
      <c r="DV101" s="150"/>
    </row>
    <row r="102" spans="1:232" ht="12.75" customHeight="1" x14ac:dyDescent="0.2">
      <c r="A102" s="162"/>
      <c r="B102" s="163"/>
      <c r="C102" s="91"/>
      <c r="D102" s="92"/>
      <c r="E102" s="85"/>
      <c r="F102" s="85"/>
      <c r="G102" s="91"/>
      <c r="H102" s="92"/>
      <c r="I102" s="85"/>
      <c r="J102" s="85"/>
      <c r="K102" s="91"/>
      <c r="L102" s="92"/>
      <c r="M102" s="85"/>
      <c r="N102" s="85"/>
      <c r="O102" s="91"/>
      <c r="P102" s="92"/>
      <c r="Q102" s="85"/>
      <c r="S102" s="85"/>
      <c r="T102" s="91"/>
      <c r="U102" s="92"/>
      <c r="V102" s="84"/>
      <c r="W102" s="85"/>
      <c r="X102" s="91"/>
      <c r="Y102" s="92"/>
      <c r="Z102" s="85"/>
      <c r="AA102" s="85"/>
      <c r="AB102" s="91"/>
      <c r="AC102" s="92"/>
      <c r="AD102" s="85"/>
      <c r="AE102" s="85"/>
      <c r="AF102" s="91"/>
      <c r="AG102" s="92"/>
      <c r="AH102" s="85"/>
      <c r="AI102" s="85"/>
      <c r="AJ102" s="91"/>
      <c r="AK102" s="92"/>
      <c r="AL102" s="85"/>
      <c r="AM102" s="85"/>
      <c r="AN102" s="91"/>
      <c r="AO102" s="92"/>
      <c r="AP102" s="85"/>
      <c r="AQ102" s="85"/>
      <c r="AR102" s="91"/>
      <c r="AS102" s="92"/>
      <c r="AT102" s="85"/>
      <c r="AU102" s="85"/>
      <c r="AV102" s="91"/>
      <c r="AW102" s="92"/>
      <c r="AX102" s="85"/>
      <c r="AY102" s="85"/>
      <c r="AZ102" s="91"/>
      <c r="BA102" s="92"/>
      <c r="BB102" s="85"/>
      <c r="BC102" s="85"/>
      <c r="BD102" s="91"/>
      <c r="BE102" s="92"/>
      <c r="BF102" s="85"/>
      <c r="BG102" s="85"/>
      <c r="BH102" s="91"/>
      <c r="BI102" s="92"/>
      <c r="BJ102" s="85"/>
      <c r="BK102" s="85"/>
      <c r="BL102" s="91"/>
      <c r="BM102" s="92"/>
      <c r="BN102" s="85"/>
      <c r="BO102" s="85"/>
      <c r="BP102" s="91"/>
      <c r="BQ102" s="92"/>
      <c r="BR102" s="85"/>
      <c r="BS102" s="85"/>
      <c r="BT102" s="91"/>
      <c r="BU102" s="92"/>
      <c r="BV102" s="85"/>
      <c r="BW102" s="85"/>
      <c r="BX102" s="91"/>
      <c r="BY102" s="92"/>
      <c r="BZ102" s="85"/>
      <c r="CA102" s="85"/>
      <c r="CB102" s="91"/>
      <c r="CC102" s="92"/>
      <c r="CD102" s="85"/>
      <c r="CE102" s="85"/>
      <c r="CF102" s="91"/>
      <c r="CG102" s="92"/>
      <c r="CH102" s="85"/>
      <c r="CI102" s="85"/>
      <c r="CJ102" s="91"/>
      <c r="CK102" s="92"/>
      <c r="CL102" s="85"/>
      <c r="CM102" s="85"/>
      <c r="CN102" s="91"/>
      <c r="CO102" s="92"/>
      <c r="CP102" s="85"/>
      <c r="CQ102" s="85"/>
      <c r="CR102" s="91"/>
      <c r="CS102" s="92"/>
      <c r="CT102" s="85"/>
      <c r="CU102" s="85"/>
      <c r="CV102" s="91"/>
      <c r="CW102" s="92"/>
      <c r="CX102" s="85"/>
      <c r="CY102" s="85"/>
      <c r="CZ102" s="91"/>
      <c r="DA102" s="92"/>
      <c r="DB102" s="85"/>
      <c r="DC102" s="85"/>
      <c r="DD102" s="91"/>
      <c r="DE102" s="92"/>
      <c r="DF102" s="85"/>
      <c r="DG102" s="85"/>
      <c r="DH102" s="91"/>
      <c r="DI102" s="92"/>
      <c r="DJ102" s="85"/>
      <c r="DK102" s="85"/>
      <c r="DL102" s="85"/>
      <c r="DM102" s="85"/>
      <c r="DN102" s="85"/>
      <c r="DO102" s="91"/>
      <c r="DP102" s="92"/>
      <c r="DQ102" s="85"/>
      <c r="DR102" s="85"/>
      <c r="DS102" s="91"/>
      <c r="DT102" s="92"/>
      <c r="DU102" s="85"/>
      <c r="DV102" s="85"/>
    </row>
    <row r="103" spans="1:232" ht="12.75" customHeight="1" x14ac:dyDescent="0.2">
      <c r="A103" s="148" t="s">
        <v>144</v>
      </c>
      <c r="B103" s="148"/>
      <c r="C103" s="91"/>
      <c r="D103" s="92"/>
      <c r="E103" s="85"/>
      <c r="F103" s="85"/>
      <c r="G103" s="91"/>
      <c r="H103" s="92"/>
      <c r="I103" s="85"/>
      <c r="J103" s="85"/>
      <c r="K103" s="91"/>
      <c r="L103" s="92"/>
      <c r="M103" s="85"/>
      <c r="N103" s="85"/>
      <c r="O103" s="91"/>
      <c r="P103" s="92"/>
      <c r="Q103" s="85"/>
      <c r="S103" s="85"/>
      <c r="T103" s="91"/>
      <c r="U103" s="92"/>
      <c r="V103" s="84"/>
      <c r="W103" s="85"/>
      <c r="X103" s="91"/>
      <c r="Y103" s="92"/>
      <c r="Z103" s="85"/>
      <c r="AA103" s="85"/>
      <c r="AB103" s="91"/>
      <c r="AC103" s="92"/>
      <c r="AD103" s="85"/>
      <c r="AE103" s="85"/>
      <c r="AF103" s="91"/>
      <c r="AG103" s="92"/>
      <c r="AH103" s="85"/>
      <c r="AI103" s="85"/>
      <c r="AJ103" s="91"/>
      <c r="AK103" s="92"/>
      <c r="AL103" s="85"/>
      <c r="AM103" s="85"/>
      <c r="AN103" s="91"/>
      <c r="AO103" s="92"/>
      <c r="AP103" s="85"/>
      <c r="AQ103" s="85"/>
      <c r="AR103" s="91"/>
      <c r="AS103" s="92"/>
      <c r="AT103" s="85"/>
      <c r="AU103" s="85"/>
      <c r="AV103" s="91"/>
      <c r="AW103" s="92"/>
      <c r="AX103" s="85"/>
      <c r="AY103" s="85"/>
      <c r="AZ103" s="91"/>
      <c r="BA103" s="92"/>
      <c r="BB103" s="85"/>
      <c r="BC103" s="85"/>
      <c r="BD103" s="91"/>
      <c r="BE103" s="92"/>
      <c r="BF103" s="85"/>
      <c r="BG103" s="85"/>
      <c r="BH103" s="91"/>
      <c r="BI103" s="92"/>
      <c r="BJ103" s="85"/>
      <c r="BK103" s="85"/>
      <c r="BL103" s="91"/>
      <c r="BM103" s="92"/>
      <c r="BN103" s="85"/>
      <c r="BO103" s="85"/>
      <c r="BP103" s="91"/>
      <c r="BQ103" s="92"/>
      <c r="BR103" s="85"/>
      <c r="BS103" s="85"/>
      <c r="BT103" s="91"/>
      <c r="BU103" s="92"/>
      <c r="BV103" s="85"/>
      <c r="BW103" s="85"/>
      <c r="BX103" s="91"/>
      <c r="BY103" s="92"/>
      <c r="BZ103" s="85"/>
      <c r="CA103" s="85"/>
      <c r="CB103" s="91"/>
      <c r="CC103" s="92"/>
      <c r="CD103" s="85"/>
      <c r="CE103" s="85"/>
      <c r="CF103" s="91"/>
      <c r="CG103" s="92"/>
      <c r="CH103" s="85"/>
      <c r="CI103" s="85"/>
      <c r="CJ103" s="91"/>
      <c r="CK103" s="92"/>
      <c r="CL103" s="85"/>
      <c r="CM103" s="85"/>
      <c r="CN103" s="91"/>
      <c r="CO103" s="92"/>
      <c r="CP103" s="85"/>
      <c r="CQ103" s="85"/>
      <c r="CR103" s="91"/>
      <c r="CS103" s="92"/>
      <c r="CT103" s="85"/>
      <c r="CU103" s="85"/>
      <c r="CV103" s="91"/>
      <c r="CW103" s="92"/>
      <c r="CX103" s="85"/>
      <c r="CY103" s="85"/>
      <c r="CZ103" s="91"/>
      <c r="DA103" s="92"/>
      <c r="DB103" s="85"/>
      <c r="DC103" s="85"/>
      <c r="DD103" s="91"/>
      <c r="DE103" s="92"/>
      <c r="DF103" s="85"/>
      <c r="DG103" s="85"/>
      <c r="DH103" s="91"/>
      <c r="DI103" s="92"/>
      <c r="DJ103" s="85"/>
      <c r="DK103" s="85"/>
      <c r="DL103" s="85"/>
      <c r="DM103" s="85"/>
      <c r="DN103" s="85"/>
      <c r="DO103" s="91"/>
      <c r="DP103" s="92"/>
      <c r="DQ103" s="85"/>
      <c r="DR103" s="85"/>
      <c r="DS103" s="91"/>
      <c r="DT103" s="92"/>
      <c r="DU103" s="85"/>
      <c r="DV103" s="85"/>
    </row>
    <row r="104" spans="1:232" ht="12.75" customHeight="1" x14ac:dyDescent="0.2">
      <c r="A104" s="162"/>
      <c r="B104" s="167" t="s">
        <v>284</v>
      </c>
      <c r="C104" s="91"/>
      <c r="D104" s="92"/>
      <c r="E104" s="130">
        <f t="shared" ref="E104:BP104" si="24">E42/E30</f>
        <v>0</v>
      </c>
      <c r="F104" s="130" t="e">
        <f t="shared" si="24"/>
        <v>#DIV/0!</v>
      </c>
      <c r="G104" s="130" t="e">
        <f t="shared" si="24"/>
        <v>#DIV/0!</v>
      </c>
      <c r="H104" s="131"/>
      <c r="I104" s="130">
        <f t="shared" si="24"/>
        <v>0</v>
      </c>
      <c r="J104" s="130">
        <f t="shared" si="24"/>
        <v>0</v>
      </c>
      <c r="K104" s="130" t="e">
        <f t="shared" si="24"/>
        <v>#DIV/0!</v>
      </c>
      <c r="L104" s="131"/>
      <c r="M104" s="130">
        <f t="shared" si="24"/>
        <v>0</v>
      </c>
      <c r="N104" s="130">
        <f t="shared" si="24"/>
        <v>0</v>
      </c>
      <c r="O104" s="130" t="e">
        <f t="shared" si="24"/>
        <v>#DIV/0!</v>
      </c>
      <c r="P104" s="131"/>
      <c r="Q104" s="130">
        <f t="shared" si="24"/>
        <v>0</v>
      </c>
      <c r="R104" s="130">
        <f t="shared" si="24"/>
        <v>0</v>
      </c>
      <c r="S104" s="130">
        <f t="shared" si="24"/>
        <v>0</v>
      </c>
      <c r="T104" s="130" t="e">
        <f t="shared" si="24"/>
        <v>#DIV/0!</v>
      </c>
      <c r="U104" s="131"/>
      <c r="V104" s="130">
        <f t="shared" si="24"/>
        <v>0</v>
      </c>
      <c r="W104" s="130">
        <f t="shared" si="24"/>
        <v>0</v>
      </c>
      <c r="X104" s="130" t="e">
        <f t="shared" si="24"/>
        <v>#DIV/0!</v>
      </c>
      <c r="Y104" s="131"/>
      <c r="Z104" s="130">
        <f t="shared" si="24"/>
        <v>0</v>
      </c>
      <c r="AA104" s="130">
        <f t="shared" si="24"/>
        <v>0</v>
      </c>
      <c r="AB104" s="130" t="e">
        <f t="shared" si="24"/>
        <v>#DIV/0!</v>
      </c>
      <c r="AC104" s="131"/>
      <c r="AD104" s="130">
        <f t="shared" si="24"/>
        <v>4.5486409904015729E-2</v>
      </c>
      <c r="AE104" s="130">
        <f t="shared" si="24"/>
        <v>3.7000098769063509E-2</v>
      </c>
      <c r="AF104" s="130" t="e">
        <f t="shared" si="24"/>
        <v>#DIV/0!</v>
      </c>
      <c r="AG104" s="131"/>
      <c r="AH104" s="130">
        <f t="shared" si="24"/>
        <v>0</v>
      </c>
      <c r="AI104" s="130">
        <f t="shared" si="24"/>
        <v>0</v>
      </c>
      <c r="AJ104" s="130" t="e">
        <f t="shared" si="24"/>
        <v>#DIV/0!</v>
      </c>
      <c r="AK104" s="131"/>
      <c r="AL104" s="130">
        <f t="shared" si="24"/>
        <v>0</v>
      </c>
      <c r="AM104" s="130">
        <f t="shared" si="24"/>
        <v>0</v>
      </c>
      <c r="AN104" s="130" t="e">
        <f t="shared" si="24"/>
        <v>#DIV/0!</v>
      </c>
      <c r="AO104" s="131"/>
      <c r="AP104" s="130">
        <f t="shared" si="24"/>
        <v>0</v>
      </c>
      <c r="AQ104" s="130">
        <f t="shared" si="24"/>
        <v>1.5081429585555445E-2</v>
      </c>
      <c r="AR104" s="130" t="e">
        <f t="shared" si="24"/>
        <v>#DIV/0!</v>
      </c>
      <c r="AS104" s="131"/>
      <c r="AT104" s="130">
        <f t="shared" si="24"/>
        <v>2.6432839107218883E-2</v>
      </c>
      <c r="AU104" s="130">
        <f t="shared" si="24"/>
        <v>3.3398669531047982E-2</v>
      </c>
      <c r="AV104" s="130" t="e">
        <f t="shared" si="24"/>
        <v>#DIV/0!</v>
      </c>
      <c r="AW104" s="131"/>
      <c r="AX104" s="130">
        <f t="shared" si="24"/>
        <v>0</v>
      </c>
      <c r="AY104" s="130">
        <f t="shared" si="24"/>
        <v>0</v>
      </c>
      <c r="AZ104" s="130" t="e">
        <f t="shared" si="24"/>
        <v>#DIV/0!</v>
      </c>
      <c r="BA104" s="131"/>
      <c r="BB104" s="130">
        <f t="shared" si="24"/>
        <v>0</v>
      </c>
      <c r="BC104" s="130" t="e">
        <f t="shared" si="24"/>
        <v>#DIV/0!</v>
      </c>
      <c r="BD104" s="130" t="e">
        <f t="shared" si="24"/>
        <v>#DIV/0!</v>
      </c>
      <c r="BE104" s="131"/>
      <c r="BF104" s="130" t="e">
        <f t="shared" si="24"/>
        <v>#DIV/0!</v>
      </c>
      <c r="BG104" s="130" t="e">
        <f t="shared" si="24"/>
        <v>#DIV/0!</v>
      </c>
      <c r="BH104" s="130" t="e">
        <f t="shared" si="24"/>
        <v>#DIV/0!</v>
      </c>
      <c r="BI104" s="131"/>
      <c r="BJ104" s="130">
        <f t="shared" si="24"/>
        <v>0</v>
      </c>
      <c r="BK104" s="130">
        <f t="shared" si="24"/>
        <v>0</v>
      </c>
      <c r="BL104" s="130" t="e">
        <f t="shared" si="24"/>
        <v>#DIV/0!</v>
      </c>
      <c r="BM104" s="131"/>
      <c r="BN104" s="130">
        <f t="shared" si="24"/>
        <v>3.4338844138265351E-2</v>
      </c>
      <c r="BO104" s="130">
        <f t="shared" si="24"/>
        <v>0.16092164348145602</v>
      </c>
      <c r="BP104" s="130" t="e">
        <f t="shared" si="24"/>
        <v>#DIV/0!</v>
      </c>
      <c r="BQ104" s="131"/>
      <c r="BR104" s="130">
        <f t="shared" ref="BR104:BS104" si="25">BR42/BR30</f>
        <v>0</v>
      </c>
      <c r="BS104" s="130">
        <f t="shared" si="25"/>
        <v>0</v>
      </c>
      <c r="BT104" s="130"/>
      <c r="BU104" s="131"/>
      <c r="BV104" s="130">
        <f>BV42/BV30</f>
        <v>1.8765991194472588E-4</v>
      </c>
      <c r="BW104" s="130"/>
      <c r="BX104" s="130" t="e">
        <f t="shared" ref="BX104:DM104" si="26">BX42/BX30</f>
        <v>#DIV/0!</v>
      </c>
      <c r="BY104" s="131"/>
      <c r="BZ104" s="130">
        <f t="shared" si="26"/>
        <v>0</v>
      </c>
      <c r="CA104" s="130">
        <f t="shared" si="26"/>
        <v>0</v>
      </c>
      <c r="CB104" s="130" t="e">
        <f t="shared" si="26"/>
        <v>#DIV/0!</v>
      </c>
      <c r="CC104" s="131"/>
      <c r="CD104" s="130">
        <f t="shared" si="26"/>
        <v>2.3976009601286388E-2</v>
      </c>
      <c r="CE104" s="130">
        <f t="shared" si="26"/>
        <v>4.8252032515982764E-2</v>
      </c>
      <c r="CF104" s="130" t="e">
        <f t="shared" si="26"/>
        <v>#DIV/0!</v>
      </c>
      <c r="CG104" s="131"/>
      <c r="CH104" s="130" t="e">
        <f t="shared" si="26"/>
        <v>#DIV/0!</v>
      </c>
      <c r="CI104" s="130" t="e">
        <f t="shared" si="26"/>
        <v>#DIV/0!</v>
      </c>
      <c r="CJ104" s="130" t="e">
        <f t="shared" si="26"/>
        <v>#DIV/0!</v>
      </c>
      <c r="CK104" s="131"/>
      <c r="CL104" s="130">
        <f t="shared" si="26"/>
        <v>0</v>
      </c>
      <c r="CM104" s="130">
        <f t="shared" si="26"/>
        <v>0</v>
      </c>
      <c r="CN104" s="130" t="e">
        <f t="shared" si="26"/>
        <v>#DIV/0!</v>
      </c>
      <c r="CO104" s="131"/>
      <c r="CP104" s="130">
        <f t="shared" si="26"/>
        <v>1.1268750995038388E-2</v>
      </c>
      <c r="CQ104" s="130">
        <f t="shared" si="26"/>
        <v>1.610321767068832E-2</v>
      </c>
      <c r="CR104" s="130" t="e">
        <f t="shared" si="26"/>
        <v>#DIV/0!</v>
      </c>
      <c r="CS104" s="131"/>
      <c r="CT104" s="130">
        <f t="shared" si="26"/>
        <v>4.8555175305396277E-2</v>
      </c>
      <c r="CU104" s="130">
        <f t="shared" si="26"/>
        <v>2.0593773975309791E-2</v>
      </c>
      <c r="CV104" s="130" t="e">
        <f t="shared" si="26"/>
        <v>#DIV/0!</v>
      </c>
      <c r="CW104" s="131"/>
      <c r="CX104" s="130">
        <f t="shared" si="26"/>
        <v>0</v>
      </c>
      <c r="CY104" s="130">
        <f t="shared" si="26"/>
        <v>0</v>
      </c>
      <c r="CZ104" s="130" t="e">
        <f t="shared" si="26"/>
        <v>#DIV/0!</v>
      </c>
      <c r="DA104" s="131"/>
      <c r="DB104" s="130" t="e">
        <f t="shared" si="26"/>
        <v>#DIV/0!</v>
      </c>
      <c r="DC104" s="130" t="e">
        <f t="shared" si="26"/>
        <v>#DIV/0!</v>
      </c>
      <c r="DD104" s="130" t="e">
        <f t="shared" si="26"/>
        <v>#DIV/0!</v>
      </c>
      <c r="DE104" s="131"/>
      <c r="DF104" s="130">
        <f t="shared" si="26"/>
        <v>0</v>
      </c>
      <c r="DG104" s="130">
        <f t="shared" si="26"/>
        <v>5.8353867269492652E-3</v>
      </c>
      <c r="DH104" s="130" t="e">
        <f t="shared" si="26"/>
        <v>#DIV/0!</v>
      </c>
      <c r="DI104" s="131"/>
      <c r="DJ104" s="130">
        <f t="shared" si="26"/>
        <v>0</v>
      </c>
      <c r="DK104" s="130">
        <f t="shared" si="26"/>
        <v>0</v>
      </c>
      <c r="DL104" s="130" t="e">
        <f t="shared" si="26"/>
        <v>#DIV/0!</v>
      </c>
      <c r="DM104" s="130">
        <f t="shared" si="26"/>
        <v>0</v>
      </c>
      <c r="DN104" s="130">
        <f>DN42/DN30</f>
        <v>0</v>
      </c>
      <c r="DO104" s="130" t="e">
        <f>DO42/DO30</f>
        <v>#DIV/0!</v>
      </c>
      <c r="DP104" s="131"/>
      <c r="DQ104" s="130">
        <f>DQ42/DQ30</f>
        <v>0</v>
      </c>
      <c r="DR104" s="130">
        <f>DR42/DR30</f>
        <v>0</v>
      </c>
      <c r="DS104" s="130" t="e">
        <f>DS42/DS30</f>
        <v>#DIV/0!</v>
      </c>
      <c r="DT104" s="131"/>
      <c r="DU104" s="130">
        <f>DU42/DU30</f>
        <v>6.8172021051142694E-3</v>
      </c>
      <c r="DV104" s="130">
        <f>DV42/DV30</f>
        <v>1.1413353118891358E-2</v>
      </c>
      <c r="FV104" s="130" t="e">
        <f t="shared" ref="FV104:HX104" si="27">FV42/FV30</f>
        <v>#DIV/0!</v>
      </c>
      <c r="FW104" s="130" t="e">
        <f t="shared" si="27"/>
        <v>#DIV/0!</v>
      </c>
      <c r="FX104" s="130" t="e">
        <f t="shared" si="27"/>
        <v>#DIV/0!</v>
      </c>
      <c r="FY104" s="130" t="e">
        <f t="shared" si="27"/>
        <v>#DIV/0!</v>
      </c>
      <c r="FZ104" s="130" t="e">
        <f t="shared" si="27"/>
        <v>#DIV/0!</v>
      </c>
      <c r="GA104" s="130" t="e">
        <f t="shared" si="27"/>
        <v>#DIV/0!</v>
      </c>
      <c r="GB104" s="130" t="e">
        <f t="shared" si="27"/>
        <v>#DIV/0!</v>
      </c>
      <c r="GC104" s="130" t="e">
        <f t="shared" si="27"/>
        <v>#DIV/0!</v>
      </c>
      <c r="GD104" s="130" t="e">
        <f t="shared" si="27"/>
        <v>#DIV/0!</v>
      </c>
      <c r="GE104" s="130" t="e">
        <f t="shared" si="27"/>
        <v>#DIV/0!</v>
      </c>
      <c r="GF104" s="130" t="e">
        <f t="shared" si="27"/>
        <v>#DIV/0!</v>
      </c>
      <c r="GG104" s="130" t="e">
        <f t="shared" si="27"/>
        <v>#DIV/0!</v>
      </c>
      <c r="GH104" s="130" t="e">
        <f t="shared" si="27"/>
        <v>#DIV/0!</v>
      </c>
      <c r="GI104" s="130" t="e">
        <f t="shared" si="27"/>
        <v>#DIV/0!</v>
      </c>
      <c r="GJ104" s="130" t="e">
        <f t="shared" si="27"/>
        <v>#DIV/0!</v>
      </c>
      <c r="GK104" s="130" t="e">
        <f t="shared" si="27"/>
        <v>#DIV/0!</v>
      </c>
      <c r="GL104" s="130" t="e">
        <f t="shared" si="27"/>
        <v>#DIV/0!</v>
      </c>
      <c r="GM104" s="130" t="e">
        <f t="shared" si="27"/>
        <v>#DIV/0!</v>
      </c>
      <c r="GN104" s="130" t="e">
        <f t="shared" si="27"/>
        <v>#DIV/0!</v>
      </c>
      <c r="GO104" s="130" t="e">
        <f t="shared" si="27"/>
        <v>#DIV/0!</v>
      </c>
      <c r="GP104" s="130" t="e">
        <f t="shared" si="27"/>
        <v>#DIV/0!</v>
      </c>
      <c r="GQ104" s="130" t="e">
        <f t="shared" si="27"/>
        <v>#DIV/0!</v>
      </c>
      <c r="GR104" s="130" t="e">
        <f t="shared" si="27"/>
        <v>#DIV/0!</v>
      </c>
      <c r="GS104" s="130" t="e">
        <f t="shared" si="27"/>
        <v>#DIV/0!</v>
      </c>
      <c r="GT104" s="130" t="e">
        <f t="shared" si="27"/>
        <v>#DIV/0!</v>
      </c>
      <c r="GU104" s="130" t="e">
        <f t="shared" si="27"/>
        <v>#DIV/0!</v>
      </c>
      <c r="GV104" s="130" t="e">
        <f t="shared" si="27"/>
        <v>#DIV/0!</v>
      </c>
      <c r="GW104" s="130" t="e">
        <f t="shared" si="27"/>
        <v>#DIV/0!</v>
      </c>
      <c r="GX104" s="130" t="e">
        <f t="shared" si="27"/>
        <v>#DIV/0!</v>
      </c>
      <c r="GY104" s="130" t="e">
        <f t="shared" si="27"/>
        <v>#DIV/0!</v>
      </c>
      <c r="GZ104" s="130" t="e">
        <f t="shared" si="27"/>
        <v>#DIV/0!</v>
      </c>
      <c r="HA104" s="130" t="e">
        <f t="shared" si="27"/>
        <v>#DIV/0!</v>
      </c>
      <c r="HB104" s="130" t="e">
        <f t="shared" si="27"/>
        <v>#DIV/0!</v>
      </c>
      <c r="HC104" s="130" t="e">
        <f t="shared" si="27"/>
        <v>#DIV/0!</v>
      </c>
      <c r="HD104" s="130" t="e">
        <f t="shared" si="27"/>
        <v>#DIV/0!</v>
      </c>
      <c r="HE104" s="130" t="e">
        <f t="shared" si="27"/>
        <v>#DIV/0!</v>
      </c>
      <c r="HF104" s="130" t="e">
        <f t="shared" si="27"/>
        <v>#DIV/0!</v>
      </c>
      <c r="HG104" s="130" t="e">
        <f t="shared" si="27"/>
        <v>#DIV/0!</v>
      </c>
      <c r="HH104" s="130" t="e">
        <f t="shared" si="27"/>
        <v>#DIV/0!</v>
      </c>
      <c r="HI104" s="130" t="e">
        <f t="shared" si="27"/>
        <v>#DIV/0!</v>
      </c>
      <c r="HJ104" s="130" t="e">
        <f t="shared" si="27"/>
        <v>#DIV/0!</v>
      </c>
      <c r="HK104" s="130" t="e">
        <f t="shared" si="27"/>
        <v>#DIV/0!</v>
      </c>
      <c r="HL104" s="130" t="e">
        <f t="shared" si="27"/>
        <v>#DIV/0!</v>
      </c>
      <c r="HM104" s="130" t="e">
        <f t="shared" si="27"/>
        <v>#DIV/0!</v>
      </c>
      <c r="HN104" s="130" t="e">
        <f t="shared" si="27"/>
        <v>#DIV/0!</v>
      </c>
      <c r="HO104" s="130" t="e">
        <f t="shared" si="27"/>
        <v>#DIV/0!</v>
      </c>
      <c r="HP104" s="130" t="e">
        <f t="shared" si="27"/>
        <v>#DIV/0!</v>
      </c>
      <c r="HQ104" s="130" t="e">
        <f t="shared" si="27"/>
        <v>#DIV/0!</v>
      </c>
      <c r="HR104" s="130" t="e">
        <f t="shared" si="27"/>
        <v>#DIV/0!</v>
      </c>
      <c r="HS104" s="130" t="e">
        <f t="shared" si="27"/>
        <v>#DIV/0!</v>
      </c>
      <c r="HT104" s="130" t="e">
        <f t="shared" si="27"/>
        <v>#DIV/0!</v>
      </c>
      <c r="HU104" s="130" t="e">
        <f t="shared" si="27"/>
        <v>#DIV/0!</v>
      </c>
      <c r="HV104" s="130" t="e">
        <f t="shared" si="27"/>
        <v>#DIV/0!</v>
      </c>
      <c r="HW104" s="130" t="e">
        <f t="shared" si="27"/>
        <v>#DIV/0!</v>
      </c>
      <c r="HX104" s="130" t="e">
        <f t="shared" si="27"/>
        <v>#DIV/0!</v>
      </c>
    </row>
    <row r="105" spans="1:232" ht="12.75" customHeight="1" x14ac:dyDescent="0.2">
      <c r="A105" s="74"/>
      <c r="B105" s="168" t="s">
        <v>285</v>
      </c>
      <c r="E105" s="130">
        <f t="shared" ref="E105:BP105" si="28">E46/E28</f>
        <v>5.0251514925054889E-3</v>
      </c>
      <c r="F105" s="130" t="e">
        <f t="shared" si="28"/>
        <v>#DIV/0!</v>
      </c>
      <c r="G105" s="130" t="e">
        <f t="shared" si="28"/>
        <v>#DIV/0!</v>
      </c>
      <c r="H105" s="131"/>
      <c r="I105" s="130">
        <f t="shared" si="28"/>
        <v>0</v>
      </c>
      <c r="J105" s="130">
        <f t="shared" si="28"/>
        <v>0</v>
      </c>
      <c r="K105" s="130" t="e">
        <f t="shared" si="28"/>
        <v>#DIV/0!</v>
      </c>
      <c r="L105" s="131"/>
      <c r="M105" s="130">
        <f t="shared" si="28"/>
        <v>6.2800014436784927E-3</v>
      </c>
      <c r="N105" s="130">
        <f t="shared" si="28"/>
        <v>6.796312495794361E-3</v>
      </c>
      <c r="O105" s="130" t="e">
        <f t="shared" si="28"/>
        <v>#DIV/0!</v>
      </c>
      <c r="P105" s="131"/>
      <c r="Q105" s="130">
        <f t="shared" si="28"/>
        <v>4.4805841354132094E-3</v>
      </c>
      <c r="R105" s="130">
        <f t="shared" si="28"/>
        <v>2.6123790470800072E-3</v>
      </c>
      <c r="S105" s="130">
        <f t="shared" si="28"/>
        <v>1.8183058512768213E-3</v>
      </c>
      <c r="T105" s="130" t="e">
        <f t="shared" si="28"/>
        <v>#DIV/0!</v>
      </c>
      <c r="U105" s="131"/>
      <c r="V105" s="130">
        <f t="shared" si="28"/>
        <v>3.8678522293934613E-2</v>
      </c>
      <c r="W105" s="130">
        <f t="shared" si="28"/>
        <v>3.0313355797019145E-2</v>
      </c>
      <c r="X105" s="130" t="e">
        <f t="shared" si="28"/>
        <v>#DIV/0!</v>
      </c>
      <c r="Y105" s="131"/>
      <c r="Z105" s="130">
        <f t="shared" si="28"/>
        <v>1.9994806322037842E-3</v>
      </c>
      <c r="AA105" s="130">
        <f t="shared" si="28"/>
        <v>2.7735321081317713E-3</v>
      </c>
      <c r="AB105" s="130" t="e">
        <f t="shared" si="28"/>
        <v>#DIV/0!</v>
      </c>
      <c r="AC105" s="131"/>
      <c r="AD105" s="130">
        <f t="shared" si="28"/>
        <v>3.5966482287275447E-2</v>
      </c>
      <c r="AE105" s="130">
        <f t="shared" si="28"/>
        <v>3.484859634997433E-2</v>
      </c>
      <c r="AF105" s="130" t="e">
        <f t="shared" si="28"/>
        <v>#DIV/0!</v>
      </c>
      <c r="AG105" s="131"/>
      <c r="AH105" s="130">
        <f t="shared" si="28"/>
        <v>4.3928336120825098E-2</v>
      </c>
      <c r="AI105" s="130">
        <f t="shared" si="28"/>
        <v>4.8120467868752258E-2</v>
      </c>
      <c r="AJ105" s="130" t="e">
        <f t="shared" si="28"/>
        <v>#DIV/0!</v>
      </c>
      <c r="AK105" s="131"/>
      <c r="AL105" s="130">
        <f t="shared" si="28"/>
        <v>0</v>
      </c>
      <c r="AM105" s="130" t="e">
        <f t="shared" si="28"/>
        <v>#DIV/0!</v>
      </c>
      <c r="AN105" s="130" t="e">
        <f t="shared" si="28"/>
        <v>#DIV/0!</v>
      </c>
      <c r="AO105" s="131"/>
      <c r="AP105" s="130">
        <f t="shared" si="28"/>
        <v>0</v>
      </c>
      <c r="AQ105" s="130">
        <f t="shared" si="28"/>
        <v>0</v>
      </c>
      <c r="AR105" s="130" t="e">
        <f t="shared" si="28"/>
        <v>#DIV/0!</v>
      </c>
      <c r="AS105" s="131"/>
      <c r="AT105" s="130">
        <f t="shared" si="28"/>
        <v>2.9439475066889358E-2</v>
      </c>
      <c r="AU105" s="130">
        <f t="shared" si="28"/>
        <v>2.5932663690728455E-2</v>
      </c>
      <c r="AV105" s="130" t="e">
        <f t="shared" si="28"/>
        <v>#DIV/0!</v>
      </c>
      <c r="AW105" s="131"/>
      <c r="AX105" s="130">
        <f t="shared" si="28"/>
        <v>4.9393268145343228E-3</v>
      </c>
      <c r="AY105" s="130">
        <f t="shared" si="28"/>
        <v>5.9891489256280244E-3</v>
      </c>
      <c r="AZ105" s="130" t="e">
        <f t="shared" si="28"/>
        <v>#DIV/0!</v>
      </c>
      <c r="BA105" s="131"/>
      <c r="BB105" s="130">
        <f t="shared" si="28"/>
        <v>0</v>
      </c>
      <c r="BC105" s="130" t="e">
        <f t="shared" si="28"/>
        <v>#DIV/0!</v>
      </c>
      <c r="BD105" s="130" t="e">
        <f t="shared" si="28"/>
        <v>#DIV/0!</v>
      </c>
      <c r="BE105" s="131"/>
      <c r="BF105" s="130" t="e">
        <f t="shared" si="28"/>
        <v>#DIV/0!</v>
      </c>
      <c r="BG105" s="130" t="e">
        <f t="shared" si="28"/>
        <v>#DIV/0!</v>
      </c>
      <c r="BH105" s="130" t="e">
        <f t="shared" si="28"/>
        <v>#DIV/0!</v>
      </c>
      <c r="BI105" s="131"/>
      <c r="BJ105" s="130">
        <f t="shared" si="28"/>
        <v>0</v>
      </c>
      <c r="BK105" s="130">
        <f t="shared" si="28"/>
        <v>0</v>
      </c>
      <c r="BL105" s="130" t="e">
        <f t="shared" si="28"/>
        <v>#DIV/0!</v>
      </c>
      <c r="BM105" s="131"/>
      <c r="BN105" s="130">
        <f t="shared" si="28"/>
        <v>4.4486655287606036E-2</v>
      </c>
      <c r="BO105" s="130">
        <f t="shared" si="28"/>
        <v>0.10547287943367079</v>
      </c>
      <c r="BP105" s="130" t="e">
        <f t="shared" si="28"/>
        <v>#DIV/0!</v>
      </c>
      <c r="BQ105" s="131"/>
      <c r="BR105" s="130">
        <f t="shared" ref="BR105:BS105" si="29">BR46/BR28</f>
        <v>3.329300560751531E-3</v>
      </c>
      <c r="BS105" s="130">
        <f t="shared" si="29"/>
        <v>4.5166134004261584E-3</v>
      </c>
      <c r="BT105" s="130"/>
      <c r="BU105" s="131"/>
      <c r="BV105" s="130">
        <f>BV46/BV28</f>
        <v>0</v>
      </c>
      <c r="BW105" s="130"/>
      <c r="BX105" s="130" t="e">
        <f t="shared" ref="BX105:DM105" si="30">BX46/BX28</f>
        <v>#DIV/0!</v>
      </c>
      <c r="BY105" s="131"/>
      <c r="BZ105" s="130">
        <f t="shared" si="30"/>
        <v>0</v>
      </c>
      <c r="CA105" s="130">
        <f t="shared" si="30"/>
        <v>0</v>
      </c>
      <c r="CB105" s="130" t="e">
        <f t="shared" si="30"/>
        <v>#DIV/0!</v>
      </c>
      <c r="CC105" s="131"/>
      <c r="CD105" s="130">
        <f t="shared" si="30"/>
        <v>1.0564095433774633E-2</v>
      </c>
      <c r="CE105" s="130">
        <f t="shared" si="30"/>
        <v>9.9817592340279634E-3</v>
      </c>
      <c r="CF105" s="130" t="e">
        <f t="shared" si="30"/>
        <v>#DIV/0!</v>
      </c>
      <c r="CG105" s="131"/>
      <c r="CH105" s="130" t="e">
        <f t="shared" si="30"/>
        <v>#DIV/0!</v>
      </c>
      <c r="CI105" s="130" t="e">
        <f t="shared" si="30"/>
        <v>#DIV/0!</v>
      </c>
      <c r="CJ105" s="130" t="e">
        <f t="shared" si="30"/>
        <v>#DIV/0!</v>
      </c>
      <c r="CK105" s="131"/>
      <c r="CL105" s="130">
        <f t="shared" si="30"/>
        <v>0</v>
      </c>
      <c r="CM105" s="130">
        <f t="shared" si="30"/>
        <v>0</v>
      </c>
      <c r="CN105" s="130" t="e">
        <f t="shared" si="30"/>
        <v>#DIV/0!</v>
      </c>
      <c r="CO105" s="131"/>
      <c r="CP105" s="130">
        <f t="shared" si="30"/>
        <v>6.8878975957794818E-3</v>
      </c>
      <c r="CQ105" s="130">
        <f t="shared" si="30"/>
        <v>7.5662641446496409E-3</v>
      </c>
      <c r="CR105" s="130" t="e">
        <f t="shared" si="30"/>
        <v>#DIV/0!</v>
      </c>
      <c r="CS105" s="131"/>
      <c r="CT105" s="130">
        <f t="shared" si="30"/>
        <v>1.1278553922255935E-2</v>
      </c>
      <c r="CU105" s="130">
        <f t="shared" si="30"/>
        <v>6.6142787087205617E-3</v>
      </c>
      <c r="CV105" s="130" t="e">
        <f t="shared" si="30"/>
        <v>#DIV/0!</v>
      </c>
      <c r="CW105" s="131"/>
      <c r="CX105" s="130">
        <f t="shared" si="30"/>
        <v>0</v>
      </c>
      <c r="CY105" s="130">
        <f t="shared" si="30"/>
        <v>0</v>
      </c>
      <c r="CZ105" s="130" t="e">
        <f t="shared" si="30"/>
        <v>#DIV/0!</v>
      </c>
      <c r="DA105" s="131"/>
      <c r="DB105" s="130" t="e">
        <f t="shared" si="30"/>
        <v>#DIV/0!</v>
      </c>
      <c r="DC105" s="130" t="e">
        <f t="shared" si="30"/>
        <v>#DIV/0!</v>
      </c>
      <c r="DD105" s="130" t="e">
        <f t="shared" si="30"/>
        <v>#DIV/0!</v>
      </c>
      <c r="DE105" s="131"/>
      <c r="DF105" s="130">
        <f t="shared" si="30"/>
        <v>7.5385360302585597E-3</v>
      </c>
      <c r="DG105" s="130">
        <f t="shared" si="30"/>
        <v>7.5566714412476921E-3</v>
      </c>
      <c r="DH105" s="130" t="e">
        <f t="shared" si="30"/>
        <v>#DIV/0!</v>
      </c>
      <c r="DI105" s="131"/>
      <c r="DJ105" s="130">
        <f t="shared" si="30"/>
        <v>0</v>
      </c>
      <c r="DK105" s="130">
        <f t="shared" si="30"/>
        <v>0</v>
      </c>
      <c r="DL105" s="130" t="e">
        <f t="shared" si="30"/>
        <v>#DIV/0!</v>
      </c>
      <c r="DM105" s="130">
        <f t="shared" si="30"/>
        <v>0</v>
      </c>
      <c r="DN105" s="130">
        <f>DN46/DN28</f>
        <v>0</v>
      </c>
      <c r="DO105" s="130" t="e">
        <f>DO46/DO28</f>
        <v>#DIV/0!</v>
      </c>
      <c r="DP105" s="131"/>
      <c r="DQ105" s="130">
        <f>DQ46/DQ28</f>
        <v>0</v>
      </c>
      <c r="DR105" s="130">
        <f>DR46/DR28</f>
        <v>0</v>
      </c>
      <c r="DS105" s="130" t="e">
        <f>DS46/DS28</f>
        <v>#DIV/0!</v>
      </c>
      <c r="DT105" s="131"/>
      <c r="DU105" s="130">
        <f>DU46/DU28</f>
        <v>2.5194292196294724E-2</v>
      </c>
      <c r="DV105" s="130">
        <f>DV46/DV28</f>
        <v>2.5178685116857068E-2</v>
      </c>
      <c r="FV105" s="130"/>
      <c r="FW105" s="130"/>
      <c r="FX105" s="130"/>
      <c r="FY105" s="130"/>
      <c r="FZ105" s="130"/>
      <c r="GA105" s="130"/>
      <c r="GB105" s="130"/>
      <c r="GC105" s="130"/>
      <c r="GD105" s="130"/>
      <c r="GE105" s="130"/>
      <c r="GF105" s="130"/>
      <c r="GG105" s="130"/>
      <c r="GH105" s="130"/>
      <c r="GI105" s="130"/>
      <c r="GJ105" s="130"/>
      <c r="GK105" s="130"/>
      <c r="GL105" s="130"/>
      <c r="GM105" s="130"/>
      <c r="GN105" s="130"/>
      <c r="GO105" s="130"/>
      <c r="GP105" s="130"/>
      <c r="GQ105" s="130"/>
      <c r="GR105" s="130"/>
      <c r="GS105" s="130"/>
      <c r="GT105" s="130"/>
      <c r="GU105" s="130"/>
      <c r="GV105" s="130"/>
      <c r="GW105" s="130"/>
      <c r="GX105" s="130"/>
      <c r="GY105" s="130"/>
      <c r="GZ105" s="130"/>
      <c r="HA105" s="130"/>
      <c r="HB105" s="130"/>
      <c r="HC105" s="130"/>
      <c r="HD105" s="130"/>
      <c r="HE105" s="130"/>
      <c r="HF105" s="130"/>
      <c r="HG105" s="130"/>
      <c r="HH105" s="130"/>
      <c r="HI105" s="130"/>
      <c r="HJ105" s="130"/>
      <c r="HK105" s="130"/>
      <c r="HL105" s="130"/>
      <c r="HM105" s="130"/>
      <c r="HN105" s="130"/>
      <c r="HO105" s="130"/>
      <c r="HP105" s="130"/>
      <c r="HQ105" s="130"/>
      <c r="HR105" s="130"/>
      <c r="HS105" s="130"/>
      <c r="HT105" s="130"/>
      <c r="HU105" s="130"/>
      <c r="HV105" s="130"/>
      <c r="HW105" s="130"/>
      <c r="HX105" s="130"/>
    </row>
    <row r="106" spans="1:232" ht="12.75" customHeight="1" x14ac:dyDescent="0.2">
      <c r="B106" s="166" t="s">
        <v>286</v>
      </c>
      <c r="E106" s="130">
        <f t="shared" ref="E106:BP106" si="31">E45/E28</f>
        <v>5.0251514925054889E-3</v>
      </c>
      <c r="F106" s="130" t="e">
        <f t="shared" si="31"/>
        <v>#DIV/0!</v>
      </c>
      <c r="G106" s="130" t="e">
        <f t="shared" si="31"/>
        <v>#DIV/0!</v>
      </c>
      <c r="H106" s="131"/>
      <c r="I106" s="130">
        <f t="shared" si="31"/>
        <v>0</v>
      </c>
      <c r="J106" s="130">
        <f t="shared" si="31"/>
        <v>0</v>
      </c>
      <c r="K106" s="130" t="e">
        <f t="shared" si="31"/>
        <v>#DIV/0!</v>
      </c>
      <c r="L106" s="131"/>
      <c r="M106" s="130">
        <f t="shared" si="31"/>
        <v>5.5130472443786771E-3</v>
      </c>
      <c r="N106" s="130">
        <f t="shared" si="31"/>
        <v>5.8734751554884793E-3</v>
      </c>
      <c r="O106" s="130" t="e">
        <f t="shared" si="31"/>
        <v>#DIV/0!</v>
      </c>
      <c r="P106" s="131"/>
      <c r="Q106" s="130">
        <f t="shared" si="31"/>
        <v>4.4805841354132094E-3</v>
      </c>
      <c r="R106" s="130">
        <f t="shared" si="31"/>
        <v>2.6123790470800072E-3</v>
      </c>
      <c r="S106" s="130">
        <f t="shared" si="31"/>
        <v>1.8183058512768213E-3</v>
      </c>
      <c r="T106" s="130" t="e">
        <f t="shared" si="31"/>
        <v>#DIV/0!</v>
      </c>
      <c r="U106" s="131"/>
      <c r="V106" s="130">
        <f t="shared" si="31"/>
        <v>3.8678522293934613E-2</v>
      </c>
      <c r="W106" s="130">
        <f t="shared" si="31"/>
        <v>3.0313355797019145E-2</v>
      </c>
      <c r="X106" s="130" t="e">
        <f t="shared" si="31"/>
        <v>#DIV/0!</v>
      </c>
      <c r="Y106" s="131"/>
      <c r="Z106" s="130">
        <f t="shared" si="31"/>
        <v>1.9994806322037842E-3</v>
      </c>
      <c r="AA106" s="130">
        <f t="shared" si="31"/>
        <v>2.7735321081317713E-3</v>
      </c>
      <c r="AB106" s="130" t="e">
        <f t="shared" si="31"/>
        <v>#DIV/0!</v>
      </c>
      <c r="AC106" s="131"/>
      <c r="AD106" s="130">
        <f t="shared" si="31"/>
        <v>3.5966482287275447E-2</v>
      </c>
      <c r="AE106" s="130">
        <f t="shared" si="31"/>
        <v>3.484859634997433E-2</v>
      </c>
      <c r="AF106" s="130" t="e">
        <f t="shared" si="31"/>
        <v>#DIV/0!</v>
      </c>
      <c r="AG106" s="131"/>
      <c r="AH106" s="130">
        <f t="shared" si="31"/>
        <v>3.4989356849627493E-2</v>
      </c>
      <c r="AI106" s="130">
        <f t="shared" si="31"/>
        <v>3.3045314366682413E-2</v>
      </c>
      <c r="AJ106" s="130" t="e">
        <f t="shared" si="31"/>
        <v>#DIV/0!</v>
      </c>
      <c r="AK106" s="131"/>
      <c r="AL106" s="130">
        <f t="shared" si="31"/>
        <v>0</v>
      </c>
      <c r="AM106" s="130" t="e">
        <f t="shared" si="31"/>
        <v>#DIV/0!</v>
      </c>
      <c r="AN106" s="130" t="e">
        <f t="shared" si="31"/>
        <v>#DIV/0!</v>
      </c>
      <c r="AO106" s="131"/>
      <c r="AP106" s="130">
        <f t="shared" si="31"/>
        <v>0</v>
      </c>
      <c r="AQ106" s="130">
        <f t="shared" si="31"/>
        <v>0</v>
      </c>
      <c r="AR106" s="130" t="e">
        <f t="shared" si="31"/>
        <v>#DIV/0!</v>
      </c>
      <c r="AS106" s="131"/>
      <c r="AT106" s="130">
        <f t="shared" si="31"/>
        <v>2.9439475066889358E-2</v>
      </c>
      <c r="AU106" s="130">
        <f t="shared" si="31"/>
        <v>2.5932663690728455E-2</v>
      </c>
      <c r="AV106" s="130" t="e">
        <f t="shared" si="31"/>
        <v>#DIV/0!</v>
      </c>
      <c r="AW106" s="131"/>
      <c r="AX106" s="130">
        <f t="shared" si="31"/>
        <v>0</v>
      </c>
      <c r="AY106" s="130">
        <f t="shared" si="31"/>
        <v>0</v>
      </c>
      <c r="AZ106" s="130" t="e">
        <f t="shared" si="31"/>
        <v>#DIV/0!</v>
      </c>
      <c r="BA106" s="131"/>
      <c r="BB106" s="130">
        <f t="shared" si="31"/>
        <v>0</v>
      </c>
      <c r="BC106" s="130" t="e">
        <f t="shared" si="31"/>
        <v>#DIV/0!</v>
      </c>
      <c r="BD106" s="130" t="e">
        <f t="shared" si="31"/>
        <v>#DIV/0!</v>
      </c>
      <c r="BE106" s="131"/>
      <c r="BF106" s="130" t="e">
        <f t="shared" si="31"/>
        <v>#DIV/0!</v>
      </c>
      <c r="BG106" s="130" t="e">
        <f t="shared" si="31"/>
        <v>#DIV/0!</v>
      </c>
      <c r="BH106" s="130" t="e">
        <f t="shared" si="31"/>
        <v>#DIV/0!</v>
      </c>
      <c r="BI106" s="131"/>
      <c r="BJ106" s="130">
        <f t="shared" si="31"/>
        <v>0</v>
      </c>
      <c r="BK106" s="130">
        <f t="shared" si="31"/>
        <v>0</v>
      </c>
      <c r="BL106" s="130" t="e">
        <f t="shared" si="31"/>
        <v>#DIV/0!</v>
      </c>
      <c r="BM106" s="131"/>
      <c r="BN106" s="130">
        <f t="shared" si="31"/>
        <v>1.3066656839803709E-2</v>
      </c>
      <c r="BO106" s="130">
        <f t="shared" si="31"/>
        <v>2.4062253863194855E-2</v>
      </c>
      <c r="BP106" s="130" t="e">
        <f t="shared" si="31"/>
        <v>#DIV/0!</v>
      </c>
      <c r="BQ106" s="131"/>
      <c r="BR106" s="130">
        <f t="shared" ref="BR106:BS106" si="32">BR45/BR28</f>
        <v>3.248472676295315E-3</v>
      </c>
      <c r="BS106" s="130">
        <f t="shared" si="32"/>
        <v>2.9438508754793093E-3</v>
      </c>
      <c r="BT106" s="130"/>
      <c r="BU106" s="131"/>
      <c r="BV106" s="130">
        <f>BV45/BV28</f>
        <v>1.8152667408596846E-3</v>
      </c>
      <c r="BW106" s="130"/>
      <c r="BX106" s="130" t="e">
        <f t="shared" ref="BX106:DM106" si="33">BX45/BX28</f>
        <v>#DIV/0!</v>
      </c>
      <c r="BY106" s="131"/>
      <c r="BZ106" s="130">
        <f t="shared" si="33"/>
        <v>0</v>
      </c>
      <c r="CA106" s="130">
        <f t="shared" si="33"/>
        <v>0</v>
      </c>
      <c r="CB106" s="130" t="e">
        <f t="shared" si="33"/>
        <v>#DIV/0!</v>
      </c>
      <c r="CC106" s="131"/>
      <c r="CD106" s="130">
        <f t="shared" si="33"/>
        <v>4.6857501820013947E-3</v>
      </c>
      <c r="CE106" s="130">
        <f t="shared" si="33"/>
        <v>4.4837406246717882E-3</v>
      </c>
      <c r="CF106" s="130" t="e">
        <f t="shared" si="33"/>
        <v>#DIV/0!</v>
      </c>
      <c r="CG106" s="131"/>
      <c r="CH106" s="130" t="e">
        <f t="shared" si="33"/>
        <v>#DIV/0!</v>
      </c>
      <c r="CI106" s="130" t="e">
        <f t="shared" si="33"/>
        <v>#DIV/0!</v>
      </c>
      <c r="CJ106" s="130" t="e">
        <f t="shared" si="33"/>
        <v>#DIV/0!</v>
      </c>
      <c r="CK106" s="131"/>
      <c r="CL106" s="130">
        <f t="shared" si="33"/>
        <v>0</v>
      </c>
      <c r="CM106" s="130">
        <f t="shared" si="33"/>
        <v>0</v>
      </c>
      <c r="CN106" s="130" t="e">
        <f t="shared" si="33"/>
        <v>#DIV/0!</v>
      </c>
      <c r="CO106" s="131"/>
      <c r="CP106" s="130">
        <f t="shared" si="33"/>
        <v>1.4818831948127343E-3</v>
      </c>
      <c r="CQ106" s="130">
        <f t="shared" si="33"/>
        <v>2.5326921027058803E-3</v>
      </c>
      <c r="CR106" s="130" t="e">
        <f t="shared" si="33"/>
        <v>#DIV/0!</v>
      </c>
      <c r="CS106" s="131"/>
      <c r="CT106" s="130">
        <f t="shared" si="33"/>
        <v>9.5006814243170333E-3</v>
      </c>
      <c r="CU106" s="130">
        <f t="shared" si="33"/>
        <v>6.6142787087205617E-3</v>
      </c>
      <c r="CV106" s="130" t="e">
        <f t="shared" si="33"/>
        <v>#DIV/0!</v>
      </c>
      <c r="CW106" s="131"/>
      <c r="CX106" s="130">
        <f t="shared" si="33"/>
        <v>0</v>
      </c>
      <c r="CY106" s="130">
        <f t="shared" si="33"/>
        <v>0</v>
      </c>
      <c r="CZ106" s="130" t="e">
        <f t="shared" si="33"/>
        <v>#DIV/0!</v>
      </c>
      <c r="DA106" s="131"/>
      <c r="DB106" s="130" t="e">
        <f t="shared" si="33"/>
        <v>#DIV/0!</v>
      </c>
      <c r="DC106" s="130" t="e">
        <f t="shared" si="33"/>
        <v>#DIV/0!</v>
      </c>
      <c r="DD106" s="130" t="e">
        <f t="shared" si="33"/>
        <v>#DIV/0!</v>
      </c>
      <c r="DE106" s="131"/>
      <c r="DF106" s="130">
        <f t="shared" si="33"/>
        <v>7.5385360302585597E-3</v>
      </c>
      <c r="DG106" s="130">
        <f t="shared" si="33"/>
        <v>7.5566714412476921E-3</v>
      </c>
      <c r="DH106" s="130" t="e">
        <f t="shared" si="33"/>
        <v>#DIV/0!</v>
      </c>
      <c r="DI106" s="131"/>
      <c r="DJ106" s="130">
        <f t="shared" si="33"/>
        <v>0</v>
      </c>
      <c r="DK106" s="130">
        <f t="shared" si="33"/>
        <v>0</v>
      </c>
      <c r="DL106" s="130" t="e">
        <f t="shared" si="33"/>
        <v>#DIV/0!</v>
      </c>
      <c r="DM106" s="130">
        <f t="shared" si="33"/>
        <v>0</v>
      </c>
      <c r="DN106" s="130">
        <f>DN45/DN28</f>
        <v>0</v>
      </c>
      <c r="DO106" s="130" t="e">
        <f>DO45/DO28</f>
        <v>#DIV/0!</v>
      </c>
      <c r="DP106" s="131"/>
      <c r="DQ106" s="130">
        <f>DQ45/DQ28</f>
        <v>0</v>
      </c>
      <c r="DR106" s="130">
        <f>DR45/DR28</f>
        <v>0</v>
      </c>
      <c r="DS106" s="130" t="e">
        <f>DS45/DS28</f>
        <v>#DIV/0!</v>
      </c>
      <c r="DT106" s="131"/>
      <c r="DU106" s="130">
        <f>DU45/DU28</f>
        <v>2.410952917175662E-2</v>
      </c>
      <c r="DV106" s="130">
        <f>DV45/DV28</f>
        <v>2.3546523505176054E-2</v>
      </c>
      <c r="FV106" s="130"/>
      <c r="FW106" s="130"/>
      <c r="FX106" s="130"/>
      <c r="FY106" s="130"/>
      <c r="FZ106" s="130"/>
      <c r="GA106" s="130"/>
      <c r="GB106" s="130"/>
      <c r="GC106" s="130"/>
      <c r="GD106" s="130"/>
      <c r="GE106" s="130"/>
      <c r="GF106" s="130"/>
      <c r="GG106" s="130"/>
      <c r="GH106" s="130"/>
      <c r="GI106" s="130"/>
      <c r="GJ106" s="130"/>
      <c r="GK106" s="130"/>
      <c r="GL106" s="130"/>
      <c r="GM106" s="130"/>
      <c r="GN106" s="130"/>
      <c r="GO106" s="130"/>
      <c r="GP106" s="130"/>
      <c r="GQ106" s="130"/>
      <c r="GR106" s="130"/>
      <c r="GS106" s="130"/>
      <c r="GT106" s="130"/>
      <c r="GU106" s="130"/>
      <c r="GV106" s="130"/>
      <c r="GW106" s="130"/>
      <c r="GX106" s="130"/>
      <c r="GY106" s="130"/>
      <c r="GZ106" s="130"/>
      <c r="HA106" s="130"/>
      <c r="HB106" s="130"/>
      <c r="HC106" s="130"/>
      <c r="HD106" s="130"/>
      <c r="HE106" s="130"/>
      <c r="HF106" s="130"/>
      <c r="HG106" s="130"/>
      <c r="HH106" s="130"/>
      <c r="HI106" s="130"/>
      <c r="HJ106" s="130"/>
      <c r="HK106" s="130"/>
      <c r="HL106" s="130"/>
      <c r="HM106" s="130"/>
      <c r="HN106" s="130"/>
      <c r="HO106" s="130"/>
      <c r="HP106" s="130"/>
      <c r="HQ106" s="130"/>
      <c r="HR106" s="130"/>
      <c r="HS106" s="130"/>
      <c r="HT106" s="130"/>
      <c r="HU106" s="130"/>
      <c r="HV106" s="130"/>
      <c r="HW106" s="130"/>
      <c r="HX106" s="130"/>
    </row>
    <row r="107" spans="1:232" ht="12.75" customHeight="1" x14ac:dyDescent="0.2">
      <c r="B107" s="165" t="s">
        <v>7</v>
      </c>
      <c r="E107" s="130">
        <f>E115/E121</f>
        <v>7.5002261082171475E-3</v>
      </c>
      <c r="F107" s="120"/>
      <c r="I107" s="130">
        <f>I115/I121</f>
        <v>0</v>
      </c>
      <c r="J107" s="120"/>
      <c r="M107" s="130">
        <f>M115/M121</f>
        <v>1.6662400223406483E-3</v>
      </c>
      <c r="N107" s="120"/>
      <c r="Q107" s="130">
        <f>Q115/Q121</f>
        <v>9.1804996890481501E-3</v>
      </c>
      <c r="R107" s="130">
        <f>R115/R121</f>
        <v>4.754519035507148E-3</v>
      </c>
      <c r="S107" s="120"/>
      <c r="V107" s="130">
        <f>V115/V121</f>
        <v>5.9122756502543429E-2</v>
      </c>
      <c r="W107" s="120"/>
      <c r="Z107" s="130">
        <f>Z115/Z121</f>
        <v>0</v>
      </c>
      <c r="AA107" s="120"/>
      <c r="AD107" s="130">
        <f>AD115/AD121</f>
        <v>3.7863280106940442E-2</v>
      </c>
      <c r="AE107" s="120"/>
      <c r="AH107" s="130">
        <f>AH115/AH121</f>
        <v>-1.4505066412482646E-3</v>
      </c>
      <c r="AI107" s="120"/>
      <c r="AL107" s="130">
        <f>AL115/AL121</f>
        <v>0</v>
      </c>
      <c r="AM107" s="120"/>
      <c r="AP107" s="130">
        <f>AP115/AP121</f>
        <v>7.6120306076589194E-3</v>
      </c>
      <c r="AQ107" s="120"/>
      <c r="AT107" s="130">
        <f>AT115/AT121</f>
        <v>3.2956588537721855E-2</v>
      </c>
      <c r="AU107" s="120"/>
      <c r="AX107" s="130">
        <f>AX115/AX121</f>
        <v>6.8489124318957771E-4</v>
      </c>
      <c r="AY107" s="120"/>
      <c r="BB107" s="130">
        <f>BB115/BB121</f>
        <v>0</v>
      </c>
      <c r="BC107" s="120"/>
      <c r="BF107" s="130" t="e">
        <f>BF115/BF121</f>
        <v>#DIV/0!</v>
      </c>
      <c r="BG107" s="120"/>
      <c r="BJ107" s="130">
        <f>BJ115/BJ121</f>
        <v>0</v>
      </c>
      <c r="BK107" s="120"/>
      <c r="BN107" s="130">
        <f>BN115/BN121</f>
        <v>-1.2513105809350594E-2</v>
      </c>
      <c r="BO107" s="120"/>
      <c r="BR107" s="130">
        <f>BR115/BR121</f>
        <v>-1.5327697432061433E-3</v>
      </c>
      <c r="BS107" s="120"/>
      <c r="BV107" s="130">
        <f>BV115/BV121</f>
        <v>2.128713871486919E-4</v>
      </c>
      <c r="BW107" s="120"/>
      <c r="BZ107" s="130">
        <f>BZ115/BZ121</f>
        <v>2.9961090135418194E-3</v>
      </c>
      <c r="CA107" s="120"/>
      <c r="CD107" s="130">
        <f>CD115/CD121</f>
        <v>7.7897627590851034E-3</v>
      </c>
      <c r="CE107" s="120"/>
      <c r="CH107" s="120"/>
      <c r="CI107" s="120"/>
      <c r="CL107" s="130">
        <f>CL115/CL121</f>
        <v>1.7630744632602209E-3</v>
      </c>
      <c r="CM107" s="120"/>
      <c r="CP107" s="130">
        <f>CP115/CP121</f>
        <v>2.8125513223296859E-3</v>
      </c>
      <c r="CQ107" s="120"/>
      <c r="CT107" s="130">
        <f>CT115/CT121</f>
        <v>3.1205411021744227E-2</v>
      </c>
      <c r="CU107" s="120"/>
      <c r="CX107" s="130">
        <f>CX115/CX121</f>
        <v>0</v>
      </c>
      <c r="CY107" s="120"/>
      <c r="DB107" s="130" t="e">
        <f>DB115/DB121</f>
        <v>#DIV/0!</v>
      </c>
      <c r="DC107" s="120"/>
      <c r="DF107" s="130">
        <f>DF115/DF121</f>
        <v>2.5555936422739936E-3</v>
      </c>
      <c r="DG107" s="120"/>
      <c r="DJ107" s="130">
        <f>DJ115/DJ121</f>
        <v>0</v>
      </c>
      <c r="DK107" s="130">
        <f>DK115/DK121</f>
        <v>0</v>
      </c>
      <c r="DL107" s="130">
        <f>DL115/DL121</f>
        <v>0</v>
      </c>
      <c r="DM107" s="130">
        <f>DM115/DM121</f>
        <v>0</v>
      </c>
      <c r="DN107" s="120"/>
      <c r="DQ107" s="130">
        <f>DQ115/DQ121</f>
        <v>0</v>
      </c>
      <c r="DR107" s="120"/>
      <c r="DU107" s="130">
        <f>DU115/DU121</f>
        <v>7.4603108710168701E-3</v>
      </c>
      <c r="DV107" s="120"/>
      <c r="HI107" s="2" t="e">
        <f>HI115/HI121</f>
        <v>#DIV/0!</v>
      </c>
    </row>
    <row r="108" spans="1:232" ht="12.75" customHeight="1" x14ac:dyDescent="0.2">
      <c r="B108" s="166" t="s">
        <v>287</v>
      </c>
      <c r="E108" s="130">
        <f>E116/E121/E$142</f>
        <v>0</v>
      </c>
      <c r="F108" s="130" t="e">
        <f>F116/F121/F$142</f>
        <v>#DIV/0!</v>
      </c>
      <c r="G108" s="130" t="e">
        <f>G116/G121/G$142</f>
        <v>#DIV/0!</v>
      </c>
      <c r="H108" s="131"/>
      <c r="I108" s="130">
        <f>I116/I121/I$142</f>
        <v>0</v>
      </c>
      <c r="J108" s="130" t="e">
        <f>J116/J121/J$142</f>
        <v>#DIV/0!</v>
      </c>
      <c r="K108" s="130" t="e">
        <f>K116/K121/K$142</f>
        <v>#DIV/0!</v>
      </c>
      <c r="L108" s="131"/>
      <c r="M108" s="130">
        <f>M116/M121/M$142</f>
        <v>-4.0957855297758951E-4</v>
      </c>
      <c r="N108" s="130" t="e">
        <f>N116/N121/N$142</f>
        <v>#DIV/0!</v>
      </c>
      <c r="O108" s="130" t="e">
        <f>O116/O121/O$142</f>
        <v>#DIV/0!</v>
      </c>
      <c r="P108" s="131"/>
      <c r="Q108" s="130">
        <f>Q116/Q121/Q$142</f>
        <v>4.1855678683065875E-3</v>
      </c>
      <c r="R108" s="130">
        <f>R116/R121/R$142</f>
        <v>0</v>
      </c>
      <c r="S108" s="130" t="e">
        <f>S116/S121/S$142</f>
        <v>#DIV/0!</v>
      </c>
      <c r="T108" s="130" t="e">
        <f>T116/T121/T$142</f>
        <v>#DIV/0!</v>
      </c>
      <c r="U108" s="131"/>
      <c r="V108" s="130">
        <f>V116/V121/V$142</f>
        <v>4.0065691951669494E-2</v>
      </c>
      <c r="W108" s="130" t="e">
        <f>W116/W121/W$142</f>
        <v>#DIV/0!</v>
      </c>
      <c r="X108" s="130" t="e">
        <f>X116/X121/X$142</f>
        <v>#DIV/0!</v>
      </c>
      <c r="Y108" s="131"/>
      <c r="Z108" s="130">
        <f>Z116/Z121/Z$142</f>
        <v>0</v>
      </c>
      <c r="AA108" s="130" t="e">
        <f>AA116/AA121/AA$142</f>
        <v>#DIV/0!</v>
      </c>
      <c r="AB108" s="130" t="e">
        <f>AB116/AB121/AB$142</f>
        <v>#DIV/0!</v>
      </c>
      <c r="AC108" s="131"/>
      <c r="AD108" s="130">
        <f>AD116/AD121/AD$142</f>
        <v>0</v>
      </c>
      <c r="AE108" s="130" t="e">
        <f>AE116/AE121/AE$142</f>
        <v>#DIV/0!</v>
      </c>
      <c r="AF108" s="130" t="e">
        <f>AF116/AF121/AF$142</f>
        <v>#DIV/0!</v>
      </c>
      <c r="AG108" s="131"/>
      <c r="AH108" s="130">
        <f>AH116/AH121/AH$142</f>
        <v>8.7681646354639993E-3</v>
      </c>
      <c r="AI108" s="130" t="e">
        <f>AI116/AI121/AI$142</f>
        <v>#DIV/0!</v>
      </c>
      <c r="AJ108" s="130" t="e">
        <f>AJ116/AJ121/AJ$142</f>
        <v>#DIV/0!</v>
      </c>
      <c r="AK108" s="131"/>
      <c r="AL108" s="130">
        <f>AL116/AL121/AL$142</f>
        <v>0</v>
      </c>
      <c r="AM108" s="130" t="e">
        <f>AM116/AM121/AM$142</f>
        <v>#DIV/0!</v>
      </c>
      <c r="AN108" s="130" t="e">
        <f>AN116/AN121/AN$142</f>
        <v>#DIV/0!</v>
      </c>
      <c r="AO108" s="131"/>
      <c r="AP108" s="130">
        <f>AP116/AP121/AP$142</f>
        <v>0</v>
      </c>
      <c r="AQ108" s="130" t="e">
        <f>AQ116/AQ121/AQ$142</f>
        <v>#DIV/0!</v>
      </c>
      <c r="AR108" s="130" t="e">
        <f>AR116/AR121/AR$142</f>
        <v>#DIV/0!</v>
      </c>
      <c r="AS108" s="131"/>
      <c r="AT108" s="130">
        <f>AT116/AT121/AT$142</f>
        <v>1.268456410108028E-2</v>
      </c>
      <c r="AU108" s="130" t="e">
        <f>AU116/AU121/AU$142</f>
        <v>#DIV/0!</v>
      </c>
      <c r="AV108" s="130" t="e">
        <f>AV116/AV121/AV$142</f>
        <v>#DIV/0!</v>
      </c>
      <c r="AW108" s="131"/>
      <c r="AX108" s="130">
        <f>AX116/AX121/AX$142</f>
        <v>6.8489124318957771E-4</v>
      </c>
      <c r="AY108" s="130" t="e">
        <f>AY116/AY121/AY$142</f>
        <v>#DIV/0!</v>
      </c>
      <c r="AZ108" s="130" t="e">
        <f>AZ116/AZ121/AZ$142</f>
        <v>#DIV/0!</v>
      </c>
      <c r="BA108" s="131"/>
      <c r="BB108" s="130">
        <f>BB116/BB121/BB$142</f>
        <v>0</v>
      </c>
      <c r="BC108" s="130" t="e">
        <f>BC116/BC121/BC$142</f>
        <v>#DIV/0!</v>
      </c>
      <c r="BD108" s="130" t="e">
        <f>BD116/BD121/BD$142</f>
        <v>#DIV/0!</v>
      </c>
      <c r="BE108" s="131"/>
      <c r="BF108" s="130" t="e">
        <f>BF116/BF121/BF$142</f>
        <v>#DIV/0!</v>
      </c>
      <c r="BG108" s="130" t="e">
        <f>BG116/BG121/BG$142</f>
        <v>#DIV/0!</v>
      </c>
      <c r="BH108" s="130" t="e">
        <f>BH116/BH121/BH$142</f>
        <v>#DIV/0!</v>
      </c>
      <c r="BI108" s="131"/>
      <c r="BJ108" s="130">
        <f>BJ116/BJ121/BJ$142</f>
        <v>0</v>
      </c>
      <c r="BK108" s="130" t="e">
        <f>BK116/BK121/BK$142</f>
        <v>#DIV/0!</v>
      </c>
      <c r="BL108" s="130" t="e">
        <f>BL116/BL121/BL$142</f>
        <v>#DIV/0!</v>
      </c>
      <c r="BM108" s="131"/>
      <c r="BN108" s="130">
        <f>BN116/BN121/BN$142</f>
        <v>2.1606603517377025E-2</v>
      </c>
      <c r="BO108" s="130" t="e">
        <f>BO116/BO121/BO$142</f>
        <v>#DIV/0!</v>
      </c>
      <c r="BP108" s="130" t="e">
        <f>BP116/BP121/BP$142</f>
        <v>#DIV/0!</v>
      </c>
      <c r="BQ108" s="131"/>
      <c r="BR108" s="130">
        <f>BR116/BR121/BR$142</f>
        <v>0</v>
      </c>
      <c r="BS108" s="130" t="e">
        <f>BS116/BS121/BS$142</f>
        <v>#DIV/0!</v>
      </c>
      <c r="BT108" s="130"/>
      <c r="BU108" s="131"/>
      <c r="BV108" s="130">
        <f>BV116/BV121/BV$142</f>
        <v>2.0604591590638102E-5</v>
      </c>
      <c r="BW108" s="130"/>
      <c r="BX108" s="130" t="e">
        <f>BX116/BX121/BX$142</f>
        <v>#DIV/0!</v>
      </c>
      <c r="BY108" s="131"/>
      <c r="BZ108" s="130">
        <f>BZ116/BZ121/BZ$142</f>
        <v>2.9961090135418194E-3</v>
      </c>
      <c r="CA108" s="130" t="e">
        <f>CA116/CA121/CA$142</f>
        <v>#DIV/0!</v>
      </c>
      <c r="CB108" s="130" t="e">
        <f>CB116/CB121/CB$142</f>
        <v>#DIV/0!</v>
      </c>
      <c r="CC108" s="131"/>
      <c r="CD108" s="130">
        <f>CD116/CD121/CD$142</f>
        <v>5.2775762867533103E-3</v>
      </c>
      <c r="CE108" s="130" t="e">
        <f>CE116/CE121/CE$142</f>
        <v>#DIV/0!</v>
      </c>
      <c r="CF108" s="130" t="e">
        <f>CF116/CF121/CF$142</f>
        <v>#DIV/0!</v>
      </c>
      <c r="CG108" s="131"/>
      <c r="CH108" s="130" t="e">
        <f>CH116/CH121/CH$142</f>
        <v>#DIV/0!</v>
      </c>
      <c r="CI108" s="130" t="e">
        <f>CI116/CI121/CI$142</f>
        <v>#DIV/0!</v>
      </c>
      <c r="CJ108" s="130" t="e">
        <f>CJ116/CJ121/CJ$142</f>
        <v>#DIV/0!</v>
      </c>
      <c r="CK108" s="131"/>
      <c r="CL108" s="130">
        <f>CL116/CL121/CL$142</f>
        <v>1.7630744632602209E-3</v>
      </c>
      <c r="CM108" s="130" t="e">
        <f>CM116/CM121/CM$142</f>
        <v>#DIV/0!</v>
      </c>
      <c r="CN108" s="130" t="e">
        <f>CN116/CN121/CN$142</f>
        <v>#DIV/0!</v>
      </c>
      <c r="CO108" s="131"/>
      <c r="CP108" s="130">
        <f>CP116/CP121/CP$142</f>
        <v>1.8958004011398872E-3</v>
      </c>
      <c r="CQ108" s="130" t="e">
        <f>CQ116/CQ121/CQ$142</f>
        <v>#DIV/0!</v>
      </c>
      <c r="CR108" s="130" t="e">
        <f>CR116/CR121/CR$142</f>
        <v>#DIV/0!</v>
      </c>
      <c r="CS108" s="131"/>
      <c r="CT108" s="130">
        <f>CT116/CT121/CT$142</f>
        <v>2.5966884408003078E-2</v>
      </c>
      <c r="CU108" s="130" t="e">
        <f>CU116/CU121/CU$142</f>
        <v>#DIV/0!</v>
      </c>
      <c r="CV108" s="130" t="e">
        <f>CV116/CV121/CV$142</f>
        <v>#DIV/0!</v>
      </c>
      <c r="CW108" s="131"/>
      <c r="CX108" s="130">
        <f>CX116/CX121/CX$142</f>
        <v>0</v>
      </c>
      <c r="CY108" s="130" t="e">
        <f>CY116/CY121/CY$142</f>
        <v>#DIV/0!</v>
      </c>
      <c r="CZ108" s="130" t="e">
        <f>CZ116/CZ121/CZ$142</f>
        <v>#DIV/0!</v>
      </c>
      <c r="DA108" s="131"/>
      <c r="DB108" s="130" t="e">
        <f>DB116/DB121/DB$142</f>
        <v>#DIV/0!</v>
      </c>
      <c r="DC108" s="130" t="e">
        <f>DC116/DC121/DC$142</f>
        <v>#DIV/0!</v>
      </c>
      <c r="DD108" s="130" t="e">
        <f>DD116/DD121/DD$142</f>
        <v>#DIV/0!</v>
      </c>
      <c r="DE108" s="131"/>
      <c r="DF108" s="130">
        <f>DF116/DF121/DF$142</f>
        <v>4.956667356670654E-5</v>
      </c>
      <c r="DG108" s="130" t="e">
        <f>DG116/DG121/DG$142</f>
        <v>#DIV/0!</v>
      </c>
      <c r="DH108" s="130" t="e">
        <f>DH116/DH121/DH$142</f>
        <v>#DIV/0!</v>
      </c>
      <c r="DI108" s="131"/>
      <c r="DJ108" s="130">
        <f t="shared" ref="DJ108:DO108" si="34">DJ116/DJ121/DJ$142</f>
        <v>0</v>
      </c>
      <c r="DK108" s="130">
        <f t="shared" si="34"/>
        <v>0</v>
      </c>
      <c r="DL108" s="130">
        <f t="shared" si="34"/>
        <v>0</v>
      </c>
      <c r="DM108" s="130">
        <f t="shared" si="34"/>
        <v>0</v>
      </c>
      <c r="DN108" s="130" t="e">
        <f t="shared" si="34"/>
        <v>#DIV/0!</v>
      </c>
      <c r="DO108" s="130" t="e">
        <f t="shared" si="34"/>
        <v>#DIV/0!</v>
      </c>
      <c r="DP108" s="131"/>
      <c r="DQ108" s="130">
        <f>DQ116/DQ121/DQ$142</f>
        <v>0</v>
      </c>
      <c r="DR108" s="130" t="e">
        <f>DR116/DR121/DR$142</f>
        <v>#DIV/0!</v>
      </c>
      <c r="DS108" s="130" t="e">
        <f>DS116/DS121/DS$142</f>
        <v>#DIV/0!</v>
      </c>
      <c r="DT108" s="131"/>
      <c r="DU108" s="130">
        <f>DU116/DU121/DU$142</f>
        <v>4.0950643809708406E-3</v>
      </c>
      <c r="DV108" s="130" t="e">
        <f>DV116/DV121/DV$142</f>
        <v>#DIV/0!</v>
      </c>
      <c r="FV108" s="130" t="e">
        <f t="shared" ref="FV108:HA108" si="35">FV116/FV121/FV$142</f>
        <v>#DIV/0!</v>
      </c>
      <c r="FW108" s="130" t="e">
        <f t="shared" si="35"/>
        <v>#DIV/0!</v>
      </c>
      <c r="FX108" s="130" t="e">
        <f t="shared" si="35"/>
        <v>#DIV/0!</v>
      </c>
      <c r="FY108" s="130" t="e">
        <f t="shared" si="35"/>
        <v>#DIV/0!</v>
      </c>
      <c r="FZ108" s="130" t="e">
        <f t="shared" si="35"/>
        <v>#DIV/0!</v>
      </c>
      <c r="GA108" s="130" t="e">
        <f t="shared" si="35"/>
        <v>#DIV/0!</v>
      </c>
      <c r="GB108" s="130" t="e">
        <f t="shared" si="35"/>
        <v>#DIV/0!</v>
      </c>
      <c r="GC108" s="130" t="e">
        <f t="shared" si="35"/>
        <v>#DIV/0!</v>
      </c>
      <c r="GD108" s="130" t="e">
        <f t="shared" si="35"/>
        <v>#DIV/0!</v>
      </c>
      <c r="GE108" s="130" t="e">
        <f t="shared" si="35"/>
        <v>#DIV/0!</v>
      </c>
      <c r="GF108" s="130" t="e">
        <f t="shared" si="35"/>
        <v>#DIV/0!</v>
      </c>
      <c r="GG108" s="130" t="e">
        <f t="shared" si="35"/>
        <v>#DIV/0!</v>
      </c>
      <c r="GH108" s="130" t="e">
        <f t="shared" si="35"/>
        <v>#DIV/0!</v>
      </c>
      <c r="GI108" s="130" t="e">
        <f t="shared" si="35"/>
        <v>#DIV/0!</v>
      </c>
      <c r="GJ108" s="130" t="e">
        <f t="shared" si="35"/>
        <v>#DIV/0!</v>
      </c>
      <c r="GK108" s="130" t="e">
        <f t="shared" si="35"/>
        <v>#DIV/0!</v>
      </c>
      <c r="GL108" s="130" t="e">
        <f t="shared" si="35"/>
        <v>#DIV/0!</v>
      </c>
      <c r="GM108" s="130" t="e">
        <f t="shared" si="35"/>
        <v>#DIV/0!</v>
      </c>
      <c r="GN108" s="130" t="e">
        <f t="shared" si="35"/>
        <v>#DIV/0!</v>
      </c>
      <c r="GO108" s="130" t="e">
        <f t="shared" si="35"/>
        <v>#DIV/0!</v>
      </c>
      <c r="GP108" s="130" t="e">
        <f t="shared" si="35"/>
        <v>#DIV/0!</v>
      </c>
      <c r="GQ108" s="130" t="e">
        <f t="shared" si="35"/>
        <v>#DIV/0!</v>
      </c>
      <c r="GR108" s="130" t="e">
        <f t="shared" si="35"/>
        <v>#DIV/0!</v>
      </c>
      <c r="GS108" s="130" t="e">
        <f t="shared" si="35"/>
        <v>#DIV/0!</v>
      </c>
      <c r="GT108" s="130" t="e">
        <f t="shared" si="35"/>
        <v>#DIV/0!</v>
      </c>
      <c r="GU108" s="130" t="e">
        <f t="shared" si="35"/>
        <v>#DIV/0!</v>
      </c>
      <c r="GV108" s="130" t="e">
        <f t="shared" si="35"/>
        <v>#DIV/0!</v>
      </c>
      <c r="GW108" s="130" t="e">
        <f t="shared" si="35"/>
        <v>#DIV/0!</v>
      </c>
      <c r="GX108" s="130" t="e">
        <f t="shared" si="35"/>
        <v>#DIV/0!</v>
      </c>
      <c r="GY108" s="130" t="e">
        <f t="shared" si="35"/>
        <v>#DIV/0!</v>
      </c>
      <c r="GZ108" s="130" t="e">
        <f t="shared" si="35"/>
        <v>#DIV/0!</v>
      </c>
      <c r="HA108" s="130" t="e">
        <f t="shared" si="35"/>
        <v>#DIV/0!</v>
      </c>
      <c r="HB108" s="130" t="e">
        <f t="shared" ref="HB108:HX108" si="36">HB116/HB121/HB$142</f>
        <v>#DIV/0!</v>
      </c>
      <c r="HC108" s="130" t="e">
        <f t="shared" si="36"/>
        <v>#DIV/0!</v>
      </c>
      <c r="HD108" s="130" t="e">
        <f t="shared" si="36"/>
        <v>#DIV/0!</v>
      </c>
      <c r="HE108" s="130" t="e">
        <f t="shared" si="36"/>
        <v>#DIV/0!</v>
      </c>
      <c r="HF108" s="130" t="e">
        <f t="shared" si="36"/>
        <v>#DIV/0!</v>
      </c>
      <c r="HG108" s="130" t="e">
        <f t="shared" si="36"/>
        <v>#DIV/0!</v>
      </c>
      <c r="HH108" s="130" t="e">
        <f t="shared" si="36"/>
        <v>#DIV/0!</v>
      </c>
      <c r="HI108" s="130" t="e">
        <f t="shared" si="36"/>
        <v>#DIV/0!</v>
      </c>
      <c r="HJ108" s="130" t="e">
        <f t="shared" si="36"/>
        <v>#DIV/0!</v>
      </c>
      <c r="HK108" s="130" t="e">
        <f t="shared" si="36"/>
        <v>#DIV/0!</v>
      </c>
      <c r="HL108" s="130" t="e">
        <f t="shared" si="36"/>
        <v>#DIV/0!</v>
      </c>
      <c r="HM108" s="130" t="e">
        <f t="shared" si="36"/>
        <v>#DIV/0!</v>
      </c>
      <c r="HN108" s="130" t="e">
        <f t="shared" si="36"/>
        <v>#DIV/0!</v>
      </c>
      <c r="HO108" s="130" t="e">
        <f t="shared" si="36"/>
        <v>#DIV/0!</v>
      </c>
      <c r="HP108" s="130" t="e">
        <f t="shared" si="36"/>
        <v>#DIV/0!</v>
      </c>
      <c r="HQ108" s="130" t="e">
        <f t="shared" si="36"/>
        <v>#DIV/0!</v>
      </c>
      <c r="HR108" s="130" t="e">
        <f t="shared" si="36"/>
        <v>#DIV/0!</v>
      </c>
      <c r="HS108" s="130" t="e">
        <f t="shared" si="36"/>
        <v>#DIV/0!</v>
      </c>
      <c r="HT108" s="130" t="e">
        <f t="shared" si="36"/>
        <v>#DIV/0!</v>
      </c>
      <c r="HU108" s="130" t="e">
        <f t="shared" si="36"/>
        <v>#DIV/0!</v>
      </c>
      <c r="HV108" s="130" t="e">
        <f t="shared" si="36"/>
        <v>#DIV/0!</v>
      </c>
      <c r="HW108" s="130" t="e">
        <f t="shared" si="36"/>
        <v>#DIV/0!</v>
      </c>
      <c r="HX108" s="130" t="e">
        <f t="shared" si="36"/>
        <v>#DIV/0!</v>
      </c>
    </row>
    <row r="109" spans="1:232" ht="12.75" customHeight="1" x14ac:dyDescent="0.2">
      <c r="B109" s="169" t="s">
        <v>288</v>
      </c>
      <c r="E109" s="130">
        <f t="shared" ref="E109:BP109" si="37">(E16+E17-E11)/E9</f>
        <v>0.74953638158288305</v>
      </c>
      <c r="F109" s="130" t="e">
        <f t="shared" si="37"/>
        <v>#DIV/0!</v>
      </c>
      <c r="G109" s="130" t="e">
        <f t="shared" si="37"/>
        <v>#DIV/0!</v>
      </c>
      <c r="H109" s="131"/>
      <c r="I109" s="130">
        <f t="shared" si="37"/>
        <v>0</v>
      </c>
      <c r="J109" s="130">
        <f t="shared" si="37"/>
        <v>0</v>
      </c>
      <c r="K109" s="130" t="e">
        <f t="shared" si="37"/>
        <v>#DIV/0!</v>
      </c>
      <c r="L109" s="131"/>
      <c r="M109" s="130">
        <f t="shared" si="37"/>
        <v>9.7293184041743665E-3</v>
      </c>
      <c r="N109" s="130">
        <f t="shared" si="37"/>
        <v>1.1275995957661827E-2</v>
      </c>
      <c r="O109" s="130" t="e">
        <f t="shared" si="37"/>
        <v>#DIV/0!</v>
      </c>
      <c r="P109" s="131"/>
      <c r="Q109" s="130">
        <f t="shared" si="37"/>
        <v>2.2662792489881673</v>
      </c>
      <c r="R109" s="130">
        <f t="shared" si="37"/>
        <v>8.1416550033166737E-2</v>
      </c>
      <c r="S109" s="130">
        <f t="shared" si="37"/>
        <v>6.0382170835653018E-2</v>
      </c>
      <c r="T109" s="130" t="e">
        <f t="shared" si="37"/>
        <v>#DIV/0!</v>
      </c>
      <c r="U109" s="131"/>
      <c r="V109" s="130">
        <f t="shared" si="37"/>
        <v>0.47299718454056822</v>
      </c>
      <c r="W109" s="130">
        <f t="shared" si="37"/>
        <v>0.42209753992231336</v>
      </c>
      <c r="X109" s="130" t="e">
        <f t="shared" si="37"/>
        <v>#DIV/0!</v>
      </c>
      <c r="Y109" s="131"/>
      <c r="Z109" s="130">
        <f t="shared" si="37"/>
        <v>0</v>
      </c>
      <c r="AA109" s="130">
        <f t="shared" si="37"/>
        <v>0</v>
      </c>
      <c r="AB109" s="130" t="e">
        <f t="shared" si="37"/>
        <v>#DIV/0!</v>
      </c>
      <c r="AC109" s="131"/>
      <c r="AD109" s="130">
        <f t="shared" si="37"/>
        <v>0.3407536862015646</v>
      </c>
      <c r="AE109" s="130">
        <f t="shared" si="37"/>
        <v>0.50073203171251512</v>
      </c>
      <c r="AF109" s="130" t="e">
        <f t="shared" si="37"/>
        <v>#DIV/0!</v>
      </c>
      <c r="AG109" s="131"/>
      <c r="AH109" s="130">
        <f t="shared" si="37"/>
        <v>-5.3893532776066871E-2</v>
      </c>
      <c r="AI109" s="130">
        <f t="shared" si="37"/>
        <v>0.7470296285155662</v>
      </c>
      <c r="AJ109" s="130" t="e">
        <f t="shared" si="37"/>
        <v>#DIV/0!</v>
      </c>
      <c r="AK109" s="131"/>
      <c r="AL109" s="130" t="e">
        <f t="shared" si="37"/>
        <v>#DIV/0!</v>
      </c>
      <c r="AM109" s="130" t="e">
        <f t="shared" si="37"/>
        <v>#DIV/0!</v>
      </c>
      <c r="AN109" s="130" t="e">
        <f t="shared" si="37"/>
        <v>#DIV/0!</v>
      </c>
      <c r="AO109" s="131"/>
      <c r="AP109" s="130">
        <f t="shared" si="37"/>
        <v>0.2102584634069663</v>
      </c>
      <c r="AQ109" s="130">
        <f t="shared" si="37"/>
        <v>0.10792143319663283</v>
      </c>
      <c r="AR109" s="130" t="e">
        <f t="shared" si="37"/>
        <v>#DIV/0!</v>
      </c>
      <c r="AS109" s="131"/>
      <c r="AT109" s="130">
        <f t="shared" si="37"/>
        <v>0.370385070910624</v>
      </c>
      <c r="AU109" s="130">
        <f t="shared" si="37"/>
        <v>0.31258100731857236</v>
      </c>
      <c r="AV109" s="130" t="e">
        <f t="shared" si="37"/>
        <v>#DIV/0!</v>
      </c>
      <c r="AW109" s="131"/>
      <c r="AX109" s="130">
        <f t="shared" si="37"/>
        <v>1.4137678647097345E-2</v>
      </c>
      <c r="AY109" s="130">
        <f t="shared" si="37"/>
        <v>2.8123309897241752E-2</v>
      </c>
      <c r="AZ109" s="130" t="e">
        <f t="shared" si="37"/>
        <v>#DIV/0!</v>
      </c>
      <c r="BA109" s="131"/>
      <c r="BB109" s="130">
        <f t="shared" si="37"/>
        <v>0</v>
      </c>
      <c r="BC109" s="130" t="e">
        <f t="shared" si="37"/>
        <v>#DIV/0!</v>
      </c>
      <c r="BD109" s="130" t="e">
        <f t="shared" si="37"/>
        <v>#DIV/0!</v>
      </c>
      <c r="BE109" s="131"/>
      <c r="BF109" s="130" t="e">
        <f t="shared" si="37"/>
        <v>#DIV/0!</v>
      </c>
      <c r="BG109" s="130" t="e">
        <f t="shared" si="37"/>
        <v>#DIV/0!</v>
      </c>
      <c r="BH109" s="130" t="e">
        <f t="shared" si="37"/>
        <v>#DIV/0!</v>
      </c>
      <c r="BI109" s="131"/>
      <c r="BJ109" s="130">
        <f t="shared" si="37"/>
        <v>0</v>
      </c>
      <c r="BK109" s="130">
        <f t="shared" si="37"/>
        <v>0</v>
      </c>
      <c r="BL109" s="130" t="e">
        <f t="shared" si="37"/>
        <v>#DIV/0!</v>
      </c>
      <c r="BM109" s="131"/>
      <c r="BN109" s="130">
        <f t="shared" si="37"/>
        <v>-0.1299067017531868</v>
      </c>
      <c r="BO109" s="130">
        <f t="shared" si="37"/>
        <v>0.43040520589005454</v>
      </c>
      <c r="BP109" s="130" t="e">
        <f t="shared" si="37"/>
        <v>#DIV/0!</v>
      </c>
      <c r="BQ109" s="131"/>
      <c r="BR109" s="130">
        <f t="shared" ref="BR109:BS109" si="38">(BR16+BR17-BR11)/BR9</f>
        <v>-3.521802735017647E-2</v>
      </c>
      <c r="BS109" s="130">
        <f t="shared" si="38"/>
        <v>6.5777020440681164E-2</v>
      </c>
      <c r="BT109" s="130"/>
      <c r="BU109" s="131"/>
      <c r="BV109" s="130">
        <f>(BV16+BV17-BV11)/BV9</f>
        <v>6.2434210526315786E-3</v>
      </c>
      <c r="BW109" s="130"/>
      <c r="BX109" s="130" t="e">
        <f t="shared" ref="BX109:DM109" si="39">(BX16+BX17-BX11)/BX9</f>
        <v>#DIV/0!</v>
      </c>
      <c r="BY109" s="131"/>
      <c r="BZ109" s="130">
        <f t="shared" si="39"/>
        <v>8.9354172810380425E-2</v>
      </c>
      <c r="CA109" s="130">
        <f t="shared" si="39"/>
        <v>0.10680989055533036</v>
      </c>
      <c r="CB109" s="130" t="e">
        <f t="shared" si="39"/>
        <v>#DIV/0!</v>
      </c>
      <c r="CC109" s="131"/>
      <c r="CD109" s="130">
        <f t="shared" si="39"/>
        <v>0.20466159773291301</v>
      </c>
      <c r="CE109" s="130">
        <f t="shared" si="39"/>
        <v>0.28735999028344039</v>
      </c>
      <c r="CF109" s="130" t="e">
        <f t="shared" si="39"/>
        <v>#DIV/0!</v>
      </c>
      <c r="CG109" s="131"/>
      <c r="CH109" s="130" t="e">
        <f t="shared" si="39"/>
        <v>#DIV/0!</v>
      </c>
      <c r="CI109" s="130" t="e">
        <f t="shared" si="39"/>
        <v>#DIV/0!</v>
      </c>
      <c r="CJ109" s="130" t="e">
        <f t="shared" si="39"/>
        <v>#DIV/0!</v>
      </c>
      <c r="CK109" s="131"/>
      <c r="CL109" s="130">
        <f t="shared" si="39"/>
        <v>2.4751308766430013E-2</v>
      </c>
      <c r="CM109" s="130">
        <f t="shared" si="39"/>
        <v>5.6426552022243509E-3</v>
      </c>
      <c r="CN109" s="130" t="e">
        <f t="shared" si="39"/>
        <v>#DIV/0!</v>
      </c>
      <c r="CO109" s="131"/>
      <c r="CP109" s="130">
        <f t="shared" si="39"/>
        <v>5.2280104987752471E-2</v>
      </c>
      <c r="CQ109" s="130">
        <f t="shared" si="39"/>
        <v>5.4225990981896489E-2</v>
      </c>
      <c r="CR109" s="130" t="e">
        <f t="shared" si="39"/>
        <v>#DIV/0!</v>
      </c>
      <c r="CS109" s="131"/>
      <c r="CT109" s="130">
        <f t="shared" si="39"/>
        <v>1.5173093160709259</v>
      </c>
      <c r="CU109" s="130">
        <f t="shared" si="39"/>
        <v>0.24632086851628468</v>
      </c>
      <c r="CV109" s="130" t="e">
        <f t="shared" si="39"/>
        <v>#DIV/0!</v>
      </c>
      <c r="CW109" s="131"/>
      <c r="CX109" s="130">
        <f t="shared" si="39"/>
        <v>0</v>
      </c>
      <c r="CY109" s="130">
        <f t="shared" si="39"/>
        <v>0</v>
      </c>
      <c r="CZ109" s="130" t="e">
        <f t="shared" si="39"/>
        <v>#DIV/0!</v>
      </c>
      <c r="DA109" s="131"/>
      <c r="DB109" s="130" t="e">
        <f t="shared" si="39"/>
        <v>#DIV/0!</v>
      </c>
      <c r="DC109" s="130" t="e">
        <f t="shared" si="39"/>
        <v>#DIV/0!</v>
      </c>
      <c r="DD109" s="130" t="e">
        <f t="shared" si="39"/>
        <v>#DIV/0!</v>
      </c>
      <c r="DE109" s="131"/>
      <c r="DF109" s="130">
        <f t="shared" si="39"/>
        <v>3.3285911305393337E-2</v>
      </c>
      <c r="DG109" s="130">
        <f t="shared" si="39"/>
        <v>1.5951127533748114E-2</v>
      </c>
      <c r="DH109" s="130" t="e">
        <f t="shared" si="39"/>
        <v>#DIV/0!</v>
      </c>
      <c r="DI109" s="131"/>
      <c r="DJ109" s="130">
        <f t="shared" si="39"/>
        <v>0</v>
      </c>
      <c r="DK109" s="130">
        <f t="shared" si="39"/>
        <v>0</v>
      </c>
      <c r="DL109" s="130" t="e">
        <f t="shared" si="39"/>
        <v>#DIV/0!</v>
      </c>
      <c r="DM109" s="130">
        <f t="shared" si="39"/>
        <v>0</v>
      </c>
      <c r="DN109" s="130">
        <f>(DN16+DN17-DN11)/DN9</f>
        <v>0</v>
      </c>
      <c r="DO109" s="130" t="e">
        <f>(DO16+DO17-DO11)/DO9</f>
        <v>#DIV/0!</v>
      </c>
      <c r="DP109" s="131"/>
      <c r="DQ109" s="130">
        <f>(DQ16+DQ17-DQ11)/DQ9</f>
        <v>0</v>
      </c>
      <c r="DR109" s="130">
        <f>(DR16+DR17-DR11)/DR9</f>
        <v>0</v>
      </c>
      <c r="DS109" s="130" t="e">
        <f>(DS16+DS17-DS11)/DS9</f>
        <v>#DIV/0!</v>
      </c>
      <c r="DT109" s="131"/>
      <c r="DU109" s="130">
        <f>(DU16+DU17-DU11)/DU9</f>
        <v>0.17602096983898166</v>
      </c>
      <c r="DV109" s="130">
        <f>(DV16+DV17-DV11)/DV9</f>
        <v>0.1710239730068609</v>
      </c>
      <c r="FV109" s="130" t="e">
        <f t="shared" ref="FV109:HX109" si="40">(FV16+FV17-FV11)/FV9</f>
        <v>#DIV/0!</v>
      </c>
      <c r="FW109" s="130" t="e">
        <f t="shared" si="40"/>
        <v>#DIV/0!</v>
      </c>
      <c r="FX109" s="130" t="e">
        <f t="shared" si="40"/>
        <v>#DIV/0!</v>
      </c>
      <c r="FY109" s="130" t="e">
        <f t="shared" si="40"/>
        <v>#DIV/0!</v>
      </c>
      <c r="FZ109" s="130" t="e">
        <f t="shared" si="40"/>
        <v>#DIV/0!</v>
      </c>
      <c r="GA109" s="130" t="e">
        <f t="shared" si="40"/>
        <v>#DIV/0!</v>
      </c>
      <c r="GB109" s="130" t="e">
        <f t="shared" si="40"/>
        <v>#DIV/0!</v>
      </c>
      <c r="GC109" s="130" t="e">
        <f t="shared" si="40"/>
        <v>#DIV/0!</v>
      </c>
      <c r="GD109" s="130" t="e">
        <f t="shared" si="40"/>
        <v>#DIV/0!</v>
      </c>
      <c r="GE109" s="130" t="e">
        <f t="shared" si="40"/>
        <v>#DIV/0!</v>
      </c>
      <c r="GF109" s="130" t="e">
        <f t="shared" si="40"/>
        <v>#DIV/0!</v>
      </c>
      <c r="GG109" s="130" t="e">
        <f t="shared" si="40"/>
        <v>#DIV/0!</v>
      </c>
      <c r="GH109" s="130" t="e">
        <f t="shared" si="40"/>
        <v>#DIV/0!</v>
      </c>
      <c r="GI109" s="130" t="e">
        <f t="shared" si="40"/>
        <v>#DIV/0!</v>
      </c>
      <c r="GJ109" s="130" t="e">
        <f t="shared" si="40"/>
        <v>#DIV/0!</v>
      </c>
      <c r="GK109" s="130" t="e">
        <f t="shared" si="40"/>
        <v>#DIV/0!</v>
      </c>
      <c r="GL109" s="130" t="e">
        <f t="shared" si="40"/>
        <v>#DIV/0!</v>
      </c>
      <c r="GM109" s="130" t="e">
        <f t="shared" si="40"/>
        <v>#DIV/0!</v>
      </c>
      <c r="GN109" s="130" t="e">
        <f t="shared" si="40"/>
        <v>#DIV/0!</v>
      </c>
      <c r="GO109" s="130" t="e">
        <f t="shared" si="40"/>
        <v>#DIV/0!</v>
      </c>
      <c r="GP109" s="130" t="e">
        <f t="shared" si="40"/>
        <v>#DIV/0!</v>
      </c>
      <c r="GQ109" s="130" t="e">
        <f t="shared" si="40"/>
        <v>#DIV/0!</v>
      </c>
      <c r="GR109" s="130" t="e">
        <f t="shared" si="40"/>
        <v>#DIV/0!</v>
      </c>
      <c r="GS109" s="130" t="e">
        <f t="shared" si="40"/>
        <v>#DIV/0!</v>
      </c>
      <c r="GT109" s="130" t="e">
        <f t="shared" si="40"/>
        <v>#DIV/0!</v>
      </c>
      <c r="GU109" s="130" t="e">
        <f t="shared" si="40"/>
        <v>#DIV/0!</v>
      </c>
      <c r="GV109" s="130" t="e">
        <f t="shared" si="40"/>
        <v>#DIV/0!</v>
      </c>
      <c r="GW109" s="130" t="e">
        <f t="shared" si="40"/>
        <v>#DIV/0!</v>
      </c>
      <c r="GX109" s="130" t="e">
        <f t="shared" si="40"/>
        <v>#DIV/0!</v>
      </c>
      <c r="GY109" s="130" t="e">
        <f t="shared" si="40"/>
        <v>#DIV/0!</v>
      </c>
      <c r="GZ109" s="130" t="e">
        <f t="shared" si="40"/>
        <v>#DIV/0!</v>
      </c>
      <c r="HA109" s="130" t="e">
        <f t="shared" si="40"/>
        <v>#DIV/0!</v>
      </c>
      <c r="HB109" s="130" t="e">
        <f t="shared" si="40"/>
        <v>#DIV/0!</v>
      </c>
      <c r="HC109" s="130" t="e">
        <f t="shared" si="40"/>
        <v>#DIV/0!</v>
      </c>
      <c r="HD109" s="130" t="e">
        <f t="shared" si="40"/>
        <v>#DIV/0!</v>
      </c>
      <c r="HE109" s="130" t="e">
        <f t="shared" si="40"/>
        <v>#DIV/0!</v>
      </c>
      <c r="HF109" s="130" t="e">
        <f t="shared" si="40"/>
        <v>#DIV/0!</v>
      </c>
      <c r="HG109" s="130" t="e">
        <f t="shared" si="40"/>
        <v>#DIV/0!</v>
      </c>
      <c r="HH109" s="130" t="e">
        <f t="shared" si="40"/>
        <v>#DIV/0!</v>
      </c>
      <c r="HI109" s="130" t="e">
        <f t="shared" si="40"/>
        <v>#DIV/0!</v>
      </c>
      <c r="HJ109" s="130" t="e">
        <f t="shared" si="40"/>
        <v>#DIV/0!</v>
      </c>
      <c r="HK109" s="130" t="e">
        <f t="shared" si="40"/>
        <v>#DIV/0!</v>
      </c>
      <c r="HL109" s="130" t="e">
        <f t="shared" si="40"/>
        <v>#DIV/0!</v>
      </c>
      <c r="HM109" s="130" t="e">
        <f t="shared" si="40"/>
        <v>#DIV/0!</v>
      </c>
      <c r="HN109" s="130" t="e">
        <f t="shared" si="40"/>
        <v>#DIV/0!</v>
      </c>
      <c r="HO109" s="130" t="e">
        <f t="shared" si="40"/>
        <v>#DIV/0!</v>
      </c>
      <c r="HP109" s="130" t="e">
        <f t="shared" si="40"/>
        <v>#DIV/0!</v>
      </c>
      <c r="HQ109" s="130" t="e">
        <f t="shared" si="40"/>
        <v>#DIV/0!</v>
      </c>
      <c r="HR109" s="130" t="e">
        <f t="shared" si="40"/>
        <v>#DIV/0!</v>
      </c>
      <c r="HS109" s="130" t="e">
        <f t="shared" si="40"/>
        <v>#DIV/0!</v>
      </c>
      <c r="HT109" s="130" t="e">
        <f t="shared" si="40"/>
        <v>#DIV/0!</v>
      </c>
      <c r="HU109" s="130" t="e">
        <f t="shared" si="40"/>
        <v>#DIV/0!</v>
      </c>
      <c r="HV109" s="130" t="e">
        <f t="shared" si="40"/>
        <v>#DIV/0!</v>
      </c>
      <c r="HW109" s="130" t="e">
        <f t="shared" si="40"/>
        <v>#DIV/0!</v>
      </c>
      <c r="HX109" s="130" t="e">
        <f t="shared" si="40"/>
        <v>#DIV/0!</v>
      </c>
    </row>
    <row r="110" spans="1:232" ht="12.75" customHeight="1" x14ac:dyDescent="0.2">
      <c r="A110" s="85"/>
      <c r="B110" s="85"/>
      <c r="C110" s="91"/>
      <c r="D110" s="92"/>
      <c r="E110" s="85"/>
      <c r="F110" s="85"/>
      <c r="G110" s="91"/>
      <c r="H110" s="92"/>
      <c r="I110" s="85"/>
      <c r="J110" s="85"/>
      <c r="K110" s="91"/>
      <c r="L110" s="92"/>
      <c r="M110" s="85"/>
      <c r="N110" s="85"/>
      <c r="O110" s="91"/>
      <c r="P110" s="92"/>
      <c r="Q110" s="85"/>
      <c r="S110" s="85"/>
      <c r="T110" s="91"/>
      <c r="U110" s="92"/>
      <c r="V110" s="84"/>
      <c r="W110" s="85"/>
      <c r="X110" s="91"/>
      <c r="Y110" s="92"/>
      <c r="Z110" s="85"/>
      <c r="AA110" s="85"/>
      <c r="AB110" s="91"/>
      <c r="AC110" s="92"/>
      <c r="AD110" s="85"/>
      <c r="AE110" s="85"/>
      <c r="AF110" s="91"/>
      <c r="AG110" s="92"/>
      <c r="AH110" s="85"/>
      <c r="AI110" s="85"/>
      <c r="AJ110" s="91"/>
      <c r="AK110" s="92"/>
      <c r="AL110" s="85"/>
      <c r="AM110" s="85"/>
      <c r="AN110" s="91"/>
      <c r="AO110" s="92"/>
      <c r="AP110" s="85"/>
      <c r="AQ110" s="85"/>
      <c r="AR110" s="91"/>
      <c r="AS110" s="92"/>
      <c r="AT110" s="85"/>
      <c r="AU110" s="85"/>
      <c r="AV110" s="91"/>
      <c r="AW110" s="92"/>
      <c r="AX110" s="85"/>
      <c r="AY110" s="85"/>
      <c r="AZ110" s="91"/>
      <c r="BA110" s="92"/>
      <c r="BB110" s="85"/>
      <c r="BC110" s="85"/>
      <c r="BD110" s="91"/>
      <c r="BE110" s="92"/>
      <c r="BF110" s="85"/>
      <c r="BG110" s="85"/>
      <c r="BH110" s="91"/>
      <c r="BI110" s="92"/>
      <c r="BJ110" s="85"/>
      <c r="BK110" s="85"/>
      <c r="BL110" s="91"/>
      <c r="BM110" s="92"/>
      <c r="BN110" s="85"/>
      <c r="BO110" s="85"/>
      <c r="BP110" s="91"/>
      <c r="BQ110" s="92"/>
      <c r="BR110" s="85"/>
      <c r="BS110" s="85"/>
      <c r="BT110" s="91"/>
      <c r="BU110" s="92"/>
      <c r="BV110" s="85"/>
      <c r="BW110" s="85"/>
      <c r="BX110" s="91"/>
      <c r="BY110" s="92"/>
      <c r="BZ110" s="85"/>
      <c r="CA110" s="85"/>
      <c r="CB110" s="91"/>
      <c r="CC110" s="92"/>
      <c r="CD110" s="85"/>
      <c r="CE110" s="85"/>
      <c r="CF110" s="91"/>
      <c r="CG110" s="92"/>
      <c r="CH110" s="85"/>
      <c r="CI110" s="85"/>
      <c r="CJ110" s="91"/>
      <c r="CK110" s="92"/>
      <c r="CL110" s="85"/>
      <c r="CM110" s="85"/>
      <c r="CN110" s="91"/>
      <c r="CO110" s="92"/>
      <c r="CP110" s="85"/>
      <c r="CQ110" s="85"/>
      <c r="CR110" s="91"/>
      <c r="CS110" s="92"/>
      <c r="CT110" s="85"/>
      <c r="CU110" s="85"/>
      <c r="CV110" s="91"/>
      <c r="CW110" s="92"/>
      <c r="CX110" s="85"/>
      <c r="CY110" s="85"/>
      <c r="CZ110" s="91"/>
      <c r="DA110" s="92"/>
      <c r="DB110" s="85"/>
      <c r="DC110" s="85"/>
      <c r="DD110" s="91"/>
      <c r="DE110" s="92"/>
      <c r="DF110" s="85"/>
      <c r="DG110" s="85"/>
      <c r="DH110" s="91"/>
      <c r="DI110" s="92"/>
      <c r="DJ110" s="85"/>
      <c r="DK110" s="85"/>
      <c r="DL110" s="85"/>
      <c r="DM110" s="85"/>
      <c r="DN110" s="85"/>
      <c r="DO110" s="91"/>
      <c r="DP110" s="92"/>
      <c r="DQ110" s="85"/>
      <c r="DR110" s="85"/>
      <c r="DS110" s="91"/>
      <c r="DT110" s="92"/>
      <c r="DU110" s="85"/>
      <c r="DV110" s="85"/>
    </row>
    <row r="111" spans="1:232" ht="12.75" customHeight="1" x14ac:dyDescent="0.2">
      <c r="A111" s="148" t="s">
        <v>289</v>
      </c>
      <c r="B111" s="148"/>
      <c r="C111" s="91"/>
      <c r="D111" s="92"/>
      <c r="E111" s="85"/>
      <c r="F111" s="85"/>
      <c r="G111" s="91"/>
      <c r="H111" s="92"/>
      <c r="I111" s="85"/>
      <c r="J111" s="85"/>
      <c r="K111" s="91"/>
      <c r="L111" s="92"/>
      <c r="M111" s="85"/>
      <c r="N111" s="85"/>
      <c r="O111" s="91"/>
      <c r="P111" s="92"/>
      <c r="Q111" s="85"/>
      <c r="S111" s="85"/>
      <c r="T111" s="91"/>
      <c r="U111" s="92"/>
      <c r="V111" s="84"/>
      <c r="W111" s="85"/>
      <c r="X111" s="91"/>
      <c r="Y111" s="92"/>
      <c r="Z111" s="85"/>
      <c r="AA111" s="85"/>
      <c r="AB111" s="91"/>
      <c r="AC111" s="92"/>
      <c r="AD111" s="85"/>
      <c r="AE111" s="85"/>
      <c r="AF111" s="91"/>
      <c r="AG111" s="92"/>
      <c r="AH111" s="85"/>
      <c r="AI111" s="85"/>
      <c r="AJ111" s="91"/>
      <c r="AK111" s="92"/>
      <c r="AL111" s="85"/>
      <c r="AM111" s="85"/>
      <c r="AN111" s="91"/>
      <c r="AO111" s="92"/>
      <c r="AP111" s="85"/>
      <c r="AQ111" s="85"/>
      <c r="AR111" s="91"/>
      <c r="AS111" s="92"/>
      <c r="AT111" s="85"/>
      <c r="AU111" s="85"/>
      <c r="AV111" s="91"/>
      <c r="AW111" s="92"/>
      <c r="AX111" s="85"/>
      <c r="AY111" s="85"/>
      <c r="AZ111" s="91"/>
      <c r="BA111" s="92"/>
      <c r="BB111" s="85"/>
      <c r="BC111" s="85"/>
      <c r="BD111" s="91"/>
      <c r="BE111" s="92"/>
      <c r="BF111" s="85"/>
      <c r="BG111" s="85"/>
      <c r="BH111" s="91"/>
      <c r="BI111" s="92"/>
      <c r="BJ111" s="85"/>
      <c r="BK111" s="85"/>
      <c r="BL111" s="91"/>
      <c r="BM111" s="92"/>
      <c r="BN111" s="85"/>
      <c r="BO111" s="85"/>
      <c r="BP111" s="91"/>
      <c r="BQ111" s="92"/>
      <c r="BR111" s="85"/>
      <c r="BS111" s="85"/>
      <c r="BT111" s="91"/>
      <c r="BU111" s="92"/>
      <c r="BV111" s="85"/>
      <c r="BW111" s="85"/>
      <c r="BX111" s="91"/>
      <c r="BY111" s="92"/>
      <c r="BZ111" s="85"/>
      <c r="CA111" s="85"/>
      <c r="CB111" s="91"/>
      <c r="CC111" s="92"/>
      <c r="CD111" s="85"/>
      <c r="CE111" s="85"/>
      <c r="CF111" s="91"/>
      <c r="CG111" s="92"/>
      <c r="CH111" s="85"/>
      <c r="CI111" s="85"/>
      <c r="CJ111" s="91"/>
      <c r="CK111" s="92"/>
      <c r="CL111" s="85"/>
      <c r="CM111" s="85"/>
      <c r="CN111" s="91"/>
      <c r="CO111" s="92"/>
      <c r="CP111" s="85"/>
      <c r="CQ111" s="85"/>
      <c r="CR111" s="91"/>
      <c r="CS111" s="92"/>
      <c r="CT111" s="85"/>
      <c r="CU111" s="85"/>
      <c r="CV111" s="91"/>
      <c r="CW111" s="92"/>
      <c r="CX111" s="85"/>
      <c r="CY111" s="85"/>
      <c r="CZ111" s="91"/>
      <c r="DA111" s="92"/>
      <c r="DB111" s="85"/>
      <c r="DC111" s="85"/>
      <c r="DD111" s="91"/>
      <c r="DE111" s="92"/>
      <c r="DF111" s="85"/>
      <c r="DG111" s="85"/>
      <c r="DH111" s="91"/>
      <c r="DI111" s="92"/>
      <c r="DJ111" s="85"/>
      <c r="DK111" s="85"/>
      <c r="DL111" s="85"/>
      <c r="DM111" s="85"/>
      <c r="DN111" s="85"/>
      <c r="DO111" s="91"/>
      <c r="DP111" s="92"/>
      <c r="DQ111" s="85"/>
      <c r="DR111" s="85"/>
      <c r="DS111" s="91"/>
      <c r="DT111" s="92"/>
      <c r="DU111" s="85"/>
      <c r="DV111" s="85"/>
    </row>
    <row r="112" spans="1:232" ht="12.75" customHeight="1" x14ac:dyDescent="0.2">
      <c r="B112" s="5" t="s">
        <v>290</v>
      </c>
      <c r="C112" s="91"/>
      <c r="D112" s="92"/>
      <c r="E112" s="111">
        <f>SUM(E9)/E$142</f>
        <v>149.69850746268656</v>
      </c>
      <c r="F112" s="111" t="e">
        <f>SUM(F9)/F$142</f>
        <v>#DIV/0!</v>
      </c>
      <c r="G112" s="111" t="e">
        <f>SUM(G9)/G$142</f>
        <v>#DIV/0!</v>
      </c>
      <c r="H112" s="108"/>
      <c r="I112" s="111">
        <f>SUM(I9)/I$142</f>
        <v>4.9390000000000001</v>
      </c>
      <c r="J112" s="111" t="e">
        <f>SUM(J9)/J$142</f>
        <v>#DIV/0!</v>
      </c>
      <c r="K112" s="111" t="e">
        <f>SUM(K9)/K$142</f>
        <v>#DIV/0!</v>
      </c>
      <c r="L112" s="108"/>
      <c r="M112" s="111">
        <f>SUM(M9)/M$142</f>
        <v>18398</v>
      </c>
      <c r="N112" s="111" t="e">
        <f>SUM(N9)/N$142</f>
        <v>#DIV/0!</v>
      </c>
      <c r="O112" s="111" t="e">
        <f>SUM(O9)/O$142</f>
        <v>#DIV/0!</v>
      </c>
      <c r="P112" s="108"/>
      <c r="Q112" s="111">
        <f>SUM(Q9)/Q$142</f>
        <v>175.17699999999991</v>
      </c>
      <c r="R112" s="111">
        <f>SUM(R9)/R$142</f>
        <v>2106.8707317073172</v>
      </c>
      <c r="S112" s="111" t="e">
        <f>SUM(S9)/S$142</f>
        <v>#DIV/0!</v>
      </c>
      <c r="T112" s="111" t="e">
        <f>SUM(T9)/T$142</f>
        <v>#DIV/0!</v>
      </c>
      <c r="U112" s="108"/>
      <c r="V112" s="111">
        <f>SUM(V9)/V$142</f>
        <v>23442</v>
      </c>
      <c r="W112" s="111" t="e">
        <f>SUM(W9)/W$142</f>
        <v>#DIV/0!</v>
      </c>
      <c r="X112" s="111" t="e">
        <f>SUM(X9)/X$142</f>
        <v>#DIV/0!</v>
      </c>
      <c r="Y112" s="108"/>
      <c r="Z112" s="111">
        <f>SUM(Z9)/Z$142</f>
        <v>2529.6369999999997</v>
      </c>
      <c r="AA112" s="111" t="e">
        <f>SUM(AA9)/AA$142</f>
        <v>#DIV/0!</v>
      </c>
      <c r="AB112" s="111" t="e">
        <f>SUM(AB9)/AB$142</f>
        <v>#DIV/0!</v>
      </c>
      <c r="AC112" s="108"/>
      <c r="AD112" s="111">
        <f>SUM(AD9)/AD$142</f>
        <v>5735.1720000000005</v>
      </c>
      <c r="AE112" s="111" t="e">
        <f>SUM(AE9)/AE$142</f>
        <v>#DIV/0!</v>
      </c>
      <c r="AF112" s="111" t="e">
        <f>SUM(AF9)/AF$142</f>
        <v>#DIV/0!</v>
      </c>
      <c r="AG112" s="108"/>
      <c r="AH112" s="111">
        <f>SUM(AH9)/AH$142</f>
        <v>4546</v>
      </c>
      <c r="AI112" s="111" t="e">
        <f>SUM(AI9)/AI$142</f>
        <v>#DIV/0!</v>
      </c>
      <c r="AJ112" s="111" t="e">
        <f>SUM(AJ9)/AJ$142</f>
        <v>#DIV/0!</v>
      </c>
      <c r="AK112" s="108"/>
      <c r="AL112" s="111">
        <f>SUM(AL9)/AL$142</f>
        <v>0</v>
      </c>
      <c r="AM112" s="111" t="e">
        <f>SUM(AM9)/AM$142</f>
        <v>#DIV/0!</v>
      </c>
      <c r="AN112" s="111" t="e">
        <f>SUM(AN9)/AN$142</f>
        <v>#DIV/0!</v>
      </c>
      <c r="AO112" s="108"/>
      <c r="AP112" s="111">
        <f>SUM(AP9)/AP$142</f>
        <v>744.32200000000012</v>
      </c>
      <c r="AQ112" s="111" t="e">
        <f>SUM(AQ9)/AQ$142</f>
        <v>#DIV/0!</v>
      </c>
      <c r="AR112" s="111" t="e">
        <f>SUM(AR9)/AR$142</f>
        <v>#DIV/0!</v>
      </c>
      <c r="AS112" s="108"/>
      <c r="AT112" s="111">
        <f>SUM(AT9)/AT$142</f>
        <v>9410.0850000000028</v>
      </c>
      <c r="AU112" s="111" t="e">
        <f>SUM(AU9)/AU$142</f>
        <v>#DIV/0!</v>
      </c>
      <c r="AV112" s="111" t="e">
        <f>SUM(AV9)/AV$142</f>
        <v>#DIV/0!</v>
      </c>
      <c r="AW112" s="108"/>
      <c r="AX112" s="111">
        <f>SUM(AX9)/AX$142</f>
        <v>25959</v>
      </c>
      <c r="AY112" s="111" t="e">
        <f>SUM(AY9)/AY$142</f>
        <v>#DIV/0!</v>
      </c>
      <c r="AZ112" s="111" t="e">
        <f>SUM(AZ9)/AZ$142</f>
        <v>#DIV/0!</v>
      </c>
      <c r="BA112" s="108"/>
      <c r="BB112" s="111">
        <f>SUM(BB9)/BB$142</f>
        <v>52.873000000000005</v>
      </c>
      <c r="BC112" s="111" t="e">
        <f>SUM(BC9)/BC$142</f>
        <v>#DIV/0!</v>
      </c>
      <c r="BD112" s="111" t="e">
        <f>SUM(BD9)/BD$142</f>
        <v>#DIV/0!</v>
      </c>
      <c r="BE112" s="108"/>
      <c r="BF112" s="111" t="e">
        <f>SUM(BF9)/BF$142</f>
        <v>#DIV/0!</v>
      </c>
      <c r="BG112" s="111" t="e">
        <f>SUM(BG9)/BG$142</f>
        <v>#DIV/0!</v>
      </c>
      <c r="BH112" s="111" t="e">
        <f>SUM(BH9)/BH$142</f>
        <v>#DIV/0!</v>
      </c>
      <c r="BI112" s="108"/>
      <c r="BJ112" s="111">
        <f>SUM(BJ9)/BJ$142</f>
        <v>91.999999999999886</v>
      </c>
      <c r="BK112" s="111" t="e">
        <f>SUM(BK9)/BK$142</f>
        <v>#DIV/0!</v>
      </c>
      <c r="BL112" s="111" t="e">
        <f>SUM(BL9)/BL$142</f>
        <v>#DIV/0!</v>
      </c>
      <c r="BM112" s="108"/>
      <c r="BN112" s="111">
        <f>SUM(BN9)/BN$142</f>
        <v>292.61000000000007</v>
      </c>
      <c r="BO112" s="111" t="e">
        <f>SUM(BO9)/BO$142</f>
        <v>#DIV/0!</v>
      </c>
      <c r="BP112" s="111" t="e">
        <f>SUM(BP9)/BP$142</f>
        <v>#DIV/0!</v>
      </c>
      <c r="BQ112" s="108"/>
      <c r="BR112" s="111">
        <f>SUM(BR9)/BR$142</f>
        <v>1689.788</v>
      </c>
      <c r="BS112" s="111" t="e">
        <f>SUM(BS9)/BS$142</f>
        <v>#DIV/0!</v>
      </c>
      <c r="BT112" s="111"/>
      <c r="BU112" s="108"/>
      <c r="BV112" s="111">
        <f>SUM(BV9)/BV$142</f>
        <v>1064</v>
      </c>
      <c r="BW112" s="111"/>
      <c r="BX112" s="111" t="e">
        <f>SUM(BX9)/BX$142</f>
        <v>#DIV/0!</v>
      </c>
      <c r="BY112" s="108"/>
      <c r="BZ112" s="111">
        <f>SUM(BZ9)/BZ$142</f>
        <v>10173</v>
      </c>
      <c r="CA112" s="111" t="e">
        <f>SUM(CA9)/CA$142</f>
        <v>#DIV/0!</v>
      </c>
      <c r="CB112" s="111" t="e">
        <f>SUM(CB9)/CB$142</f>
        <v>#DIV/0!</v>
      </c>
      <c r="CC112" s="108"/>
      <c r="CD112" s="111">
        <f>SUM(CD9)/CD$142</f>
        <v>22320.801999999996</v>
      </c>
      <c r="CE112" s="111" t="e">
        <f>SUM(CE9)/CE$142</f>
        <v>#DIV/0!</v>
      </c>
      <c r="CF112" s="111" t="e">
        <f>SUM(CF9)/CF$142</f>
        <v>#DIV/0!</v>
      </c>
      <c r="CG112" s="108"/>
      <c r="CH112" s="111" t="e">
        <f>SUM(CH9)/CH$142</f>
        <v>#DIV/0!</v>
      </c>
      <c r="CI112" s="111" t="e">
        <f>SUM(CI9)/CI$142</f>
        <v>#DIV/0!</v>
      </c>
      <c r="CJ112" s="111" t="e">
        <f>SUM(CJ9)/CJ$142</f>
        <v>#DIV/0!</v>
      </c>
      <c r="CK112" s="108"/>
      <c r="CL112" s="111">
        <f>SUM(CL9)/CL$142</f>
        <v>97611</v>
      </c>
      <c r="CM112" s="111" t="e">
        <f>SUM(CM9)/CM$142</f>
        <v>#DIV/0!</v>
      </c>
      <c r="CN112" s="111" t="e">
        <f>SUM(CN9)/CN$142</f>
        <v>#DIV/0!</v>
      </c>
      <c r="CO112" s="108"/>
      <c r="CP112" s="111">
        <f>SUM(CP9)/CP$142</f>
        <v>1917.9380000000001</v>
      </c>
      <c r="CQ112" s="111" t="e">
        <f>SUM(CQ9)/CQ$142</f>
        <v>#DIV/0!</v>
      </c>
      <c r="CR112" s="111" t="e">
        <f>SUM(CR9)/CR$142</f>
        <v>#DIV/0!</v>
      </c>
      <c r="CS112" s="108"/>
      <c r="CT112" s="111">
        <f>SUM(CT9)/CT$142</f>
        <v>3553</v>
      </c>
      <c r="CU112" s="111" t="e">
        <f>SUM(CU9)/CU$142</f>
        <v>#DIV/0!</v>
      </c>
      <c r="CV112" s="111" t="e">
        <f>SUM(CV9)/CV$142</f>
        <v>#DIV/0!</v>
      </c>
      <c r="CW112" s="108"/>
      <c r="CX112" s="111">
        <f>SUM(CX9)/CX$142</f>
        <v>2018</v>
      </c>
      <c r="CY112" s="111" t="e">
        <f>SUM(CY9)/CY$142</f>
        <v>#DIV/0!</v>
      </c>
      <c r="CZ112" s="111" t="e">
        <f>SUM(CZ9)/CZ$142</f>
        <v>#DIV/0!</v>
      </c>
      <c r="DA112" s="108"/>
      <c r="DB112" s="111" t="e">
        <f>SUM(DB9)/DB$142</f>
        <v>#DIV/0!</v>
      </c>
      <c r="DC112" s="111" t="e">
        <f>SUM(DC9)/DC$142</f>
        <v>#DIV/0!</v>
      </c>
      <c r="DD112" s="111" t="e">
        <f>SUM(DD9)/DD$142</f>
        <v>#DIV/0!</v>
      </c>
      <c r="DE112" s="108"/>
      <c r="DF112" s="111">
        <f>SUM(DF9)/DF$142</f>
        <v>16542.944999999992</v>
      </c>
      <c r="DG112" s="111" t="e">
        <f>SUM(DG9)/DG$142</f>
        <v>#DIV/0!</v>
      </c>
      <c r="DH112" s="111" t="e">
        <f>SUM(DH9)/DH$142</f>
        <v>#DIV/0!</v>
      </c>
      <c r="DI112" s="108"/>
      <c r="DJ112" s="111">
        <f t="shared" ref="DJ112:DO112" si="41">SUM(DJ9)/DJ$142</f>
        <v>76343</v>
      </c>
      <c r="DK112" s="111">
        <f t="shared" si="41"/>
        <v>478</v>
      </c>
      <c r="DL112" s="111">
        <f t="shared" si="41"/>
        <v>0</v>
      </c>
      <c r="DM112" s="111">
        <f t="shared" si="41"/>
        <v>80683</v>
      </c>
      <c r="DN112" s="111" t="e">
        <f t="shared" si="41"/>
        <v>#DIV/0!</v>
      </c>
      <c r="DO112" s="111" t="e">
        <f t="shared" si="41"/>
        <v>#DIV/0!</v>
      </c>
      <c r="DP112" s="108"/>
      <c r="DQ112" s="111">
        <f>SUM(DQ9)/DQ$142</f>
        <v>-314.31599999999997</v>
      </c>
      <c r="DR112" s="111" t="e">
        <f>SUM(DR9)/DR$142</f>
        <v>#DIV/0!</v>
      </c>
      <c r="DS112" s="111" t="e">
        <f>SUM(DS9)/DS$142</f>
        <v>#DIV/0!</v>
      </c>
      <c r="DT112" s="108"/>
      <c r="DU112" s="111">
        <f>SUM(DU9)/DU$142</f>
        <v>11822.312999999998</v>
      </c>
      <c r="DV112" s="111" t="e">
        <f>SUM(DV9)/DV$142</f>
        <v>#DIV/0!</v>
      </c>
      <c r="FV112" s="111" t="e">
        <f t="shared" ref="FV112:HA112" si="42">SUM(FV9)/FV$142</f>
        <v>#DIV/0!</v>
      </c>
      <c r="FW112" s="111" t="e">
        <f t="shared" si="42"/>
        <v>#DIV/0!</v>
      </c>
      <c r="FX112" s="111" t="e">
        <f t="shared" si="42"/>
        <v>#DIV/0!</v>
      </c>
      <c r="FY112" s="111" t="e">
        <f t="shared" si="42"/>
        <v>#DIV/0!</v>
      </c>
      <c r="FZ112" s="111" t="e">
        <f t="shared" si="42"/>
        <v>#DIV/0!</v>
      </c>
      <c r="GA112" s="111" t="e">
        <f t="shared" si="42"/>
        <v>#DIV/0!</v>
      </c>
      <c r="GB112" s="111" t="e">
        <f t="shared" si="42"/>
        <v>#DIV/0!</v>
      </c>
      <c r="GC112" s="111" t="e">
        <f t="shared" si="42"/>
        <v>#DIV/0!</v>
      </c>
      <c r="GD112" s="111" t="e">
        <f t="shared" si="42"/>
        <v>#DIV/0!</v>
      </c>
      <c r="GE112" s="111" t="e">
        <f t="shared" si="42"/>
        <v>#DIV/0!</v>
      </c>
      <c r="GF112" s="111" t="e">
        <f t="shared" si="42"/>
        <v>#DIV/0!</v>
      </c>
      <c r="GG112" s="111" t="e">
        <f t="shared" si="42"/>
        <v>#DIV/0!</v>
      </c>
      <c r="GH112" s="111" t="e">
        <f t="shared" si="42"/>
        <v>#DIV/0!</v>
      </c>
      <c r="GI112" s="111" t="e">
        <f t="shared" si="42"/>
        <v>#DIV/0!</v>
      </c>
      <c r="GJ112" s="111" t="e">
        <f t="shared" si="42"/>
        <v>#DIV/0!</v>
      </c>
      <c r="GK112" s="111" t="e">
        <f t="shared" si="42"/>
        <v>#DIV/0!</v>
      </c>
      <c r="GL112" s="111" t="e">
        <f t="shared" si="42"/>
        <v>#DIV/0!</v>
      </c>
      <c r="GM112" s="111" t="e">
        <f t="shared" si="42"/>
        <v>#DIV/0!</v>
      </c>
      <c r="GN112" s="111" t="e">
        <f t="shared" si="42"/>
        <v>#DIV/0!</v>
      </c>
      <c r="GO112" s="111" t="e">
        <f t="shared" si="42"/>
        <v>#DIV/0!</v>
      </c>
      <c r="GP112" s="111" t="e">
        <f t="shared" si="42"/>
        <v>#DIV/0!</v>
      </c>
      <c r="GQ112" s="111" t="e">
        <f t="shared" si="42"/>
        <v>#DIV/0!</v>
      </c>
      <c r="GR112" s="111" t="e">
        <f t="shared" si="42"/>
        <v>#DIV/0!</v>
      </c>
      <c r="GS112" s="111" t="e">
        <f t="shared" si="42"/>
        <v>#DIV/0!</v>
      </c>
      <c r="GT112" s="111" t="e">
        <f t="shared" si="42"/>
        <v>#DIV/0!</v>
      </c>
      <c r="GU112" s="111" t="e">
        <f t="shared" si="42"/>
        <v>#DIV/0!</v>
      </c>
      <c r="GV112" s="111" t="e">
        <f t="shared" si="42"/>
        <v>#DIV/0!</v>
      </c>
      <c r="GW112" s="111" t="e">
        <f t="shared" si="42"/>
        <v>#DIV/0!</v>
      </c>
      <c r="GX112" s="111" t="e">
        <f t="shared" si="42"/>
        <v>#DIV/0!</v>
      </c>
      <c r="GY112" s="111" t="e">
        <f t="shared" si="42"/>
        <v>#DIV/0!</v>
      </c>
      <c r="GZ112" s="111" t="e">
        <f t="shared" si="42"/>
        <v>#DIV/0!</v>
      </c>
      <c r="HA112" s="111" t="e">
        <f t="shared" si="42"/>
        <v>#DIV/0!</v>
      </c>
      <c r="HB112" s="111" t="e">
        <f t="shared" ref="HB112:HX112" si="43">SUM(HB9)/HB$142</f>
        <v>#DIV/0!</v>
      </c>
      <c r="HC112" s="111" t="e">
        <f t="shared" si="43"/>
        <v>#DIV/0!</v>
      </c>
      <c r="HD112" s="111" t="e">
        <f t="shared" si="43"/>
        <v>#DIV/0!</v>
      </c>
      <c r="HE112" s="111" t="e">
        <f t="shared" si="43"/>
        <v>#DIV/0!</v>
      </c>
      <c r="HF112" s="111" t="e">
        <f t="shared" si="43"/>
        <v>#DIV/0!</v>
      </c>
      <c r="HG112" s="111" t="e">
        <f t="shared" si="43"/>
        <v>#DIV/0!</v>
      </c>
      <c r="HH112" s="111" t="e">
        <f t="shared" si="43"/>
        <v>#DIV/0!</v>
      </c>
      <c r="HI112" s="111" t="e">
        <f t="shared" si="43"/>
        <v>#DIV/0!</v>
      </c>
      <c r="HJ112" s="111" t="e">
        <f t="shared" si="43"/>
        <v>#DIV/0!</v>
      </c>
      <c r="HK112" s="111" t="e">
        <f t="shared" si="43"/>
        <v>#DIV/0!</v>
      </c>
      <c r="HL112" s="111" t="e">
        <f t="shared" si="43"/>
        <v>#DIV/0!</v>
      </c>
      <c r="HM112" s="111" t="e">
        <f t="shared" si="43"/>
        <v>#DIV/0!</v>
      </c>
      <c r="HN112" s="111" t="e">
        <f t="shared" si="43"/>
        <v>#DIV/0!</v>
      </c>
      <c r="HO112" s="111" t="e">
        <f t="shared" si="43"/>
        <v>#DIV/0!</v>
      </c>
      <c r="HP112" s="111" t="e">
        <f t="shared" si="43"/>
        <v>#DIV/0!</v>
      </c>
      <c r="HQ112" s="111" t="e">
        <f t="shared" si="43"/>
        <v>#DIV/0!</v>
      </c>
      <c r="HR112" s="111" t="e">
        <f t="shared" si="43"/>
        <v>#DIV/0!</v>
      </c>
      <c r="HS112" s="111" t="e">
        <f t="shared" si="43"/>
        <v>#DIV/0!</v>
      </c>
      <c r="HT112" s="111" t="e">
        <f t="shared" si="43"/>
        <v>#DIV/0!</v>
      </c>
      <c r="HU112" s="111" t="e">
        <f t="shared" si="43"/>
        <v>#DIV/0!</v>
      </c>
      <c r="HV112" s="111" t="e">
        <f t="shared" si="43"/>
        <v>#DIV/0!</v>
      </c>
      <c r="HW112" s="111" t="e">
        <f t="shared" si="43"/>
        <v>#DIV/0!</v>
      </c>
      <c r="HX112" s="111" t="e">
        <f t="shared" si="43"/>
        <v>#DIV/0!</v>
      </c>
    </row>
    <row r="113" spans="1:232" ht="12.75" customHeight="1" x14ac:dyDescent="0.2">
      <c r="B113" s="5" t="s">
        <v>6</v>
      </c>
      <c r="E113" s="111">
        <f>SUM(E14)/E$142</f>
        <v>52.940298507462678</v>
      </c>
      <c r="F113" s="111"/>
      <c r="I113" s="111">
        <f>SUM(I14)/I142</f>
        <v>15071.642</v>
      </c>
      <c r="J113" s="111"/>
      <c r="M113" s="111">
        <f>SUM(M14)/M142</f>
        <v>10459</v>
      </c>
      <c r="N113" s="111"/>
      <c r="Q113" s="111">
        <f>SUM(Q14)/Q142</f>
        <v>391</v>
      </c>
      <c r="R113" s="111">
        <f>SUM(R14)/R142</f>
        <v>958.36585365853682</v>
      </c>
      <c r="S113" s="111"/>
      <c r="V113" s="111">
        <f>SUM(V14)/V142</f>
        <v>4547</v>
      </c>
      <c r="W113" s="111"/>
      <c r="Z113" s="111">
        <f>SUM(Z14)/Z142</f>
        <v>50.262</v>
      </c>
      <c r="AA113" s="111"/>
      <c r="AD113" s="111">
        <f>SUM(AD14)/AD142</f>
        <v>2245.0609999999997</v>
      </c>
      <c r="AE113" s="111"/>
      <c r="AH113" s="111">
        <f>SUM(AH14)/AH142</f>
        <v>36198</v>
      </c>
      <c r="AI113" s="111"/>
      <c r="AL113" s="111">
        <f>SUM(AL14)/AL142</f>
        <v>0</v>
      </c>
      <c r="AM113" s="111"/>
      <c r="AP113" s="111">
        <f>SUM(AP14)/AP142</f>
        <v>1284.373</v>
      </c>
      <c r="AQ113" s="111"/>
      <c r="AT113" s="111">
        <f>SUM(AT14)/AT142</f>
        <v>28255.030999999999</v>
      </c>
      <c r="AU113" s="111"/>
      <c r="AX113" s="111">
        <f>SUM(AX14)/AX142</f>
        <v>19012</v>
      </c>
      <c r="AY113" s="111"/>
      <c r="BB113" s="111">
        <f>SUM(BB14)/BB142</f>
        <v>97.414000000000001</v>
      </c>
      <c r="BC113" s="111"/>
      <c r="BF113" s="111" t="e">
        <f>SUM(BF14)/BF142</f>
        <v>#DIV/0!</v>
      </c>
      <c r="BG113" s="111"/>
      <c r="BJ113" s="111">
        <f>SUM(BJ14)/BJ142</f>
        <v>0</v>
      </c>
      <c r="BK113" s="111"/>
      <c r="BN113" s="111">
        <f>SUM(BN14)/BN142</f>
        <v>306.66499999999996</v>
      </c>
      <c r="BO113" s="111"/>
      <c r="BR113" s="111">
        <f>SUM(BR14)/BR142</f>
        <v>3243.846</v>
      </c>
      <c r="BS113" s="111"/>
      <c r="BV113" s="111">
        <f>SUM(BV14)/BV142</f>
        <v>349</v>
      </c>
      <c r="BW113" s="111"/>
      <c r="BZ113" s="111">
        <f>SUM(BZ14)/BZ142</f>
        <v>2879</v>
      </c>
      <c r="CA113" s="111"/>
      <c r="CD113" s="111">
        <f>SUM(CD14)/CD142</f>
        <v>42456.953999999998</v>
      </c>
      <c r="CE113" s="111"/>
      <c r="CH113" s="111"/>
      <c r="CI113" s="111"/>
      <c r="CL113" s="111">
        <f>SUM(CL14)/CL142</f>
        <v>10324</v>
      </c>
      <c r="CM113" s="111"/>
      <c r="CP113" s="111">
        <f>SUM(CP14)/CP142</f>
        <v>518.83699999999953</v>
      </c>
      <c r="CQ113" s="111"/>
      <c r="CT113" s="111">
        <f>SUM(CT14)/CT142</f>
        <v>22718</v>
      </c>
      <c r="CU113" s="111"/>
      <c r="CX113" s="111">
        <f>SUM(CX14)/CX142</f>
        <v>4688</v>
      </c>
      <c r="CY113" s="111"/>
      <c r="DB113" s="111" t="e">
        <f>SUM(DB14)/DB142</f>
        <v>#DIV/0!</v>
      </c>
      <c r="DC113" s="111"/>
      <c r="DF113" s="111">
        <f>SUM(DF14)/DF142</f>
        <v>24074.148000000008</v>
      </c>
      <c r="DG113" s="111"/>
      <c r="DJ113" s="111">
        <f>SUM(DJ14)/DJ142</f>
        <v>47556</v>
      </c>
      <c r="DK113" s="111">
        <f>SUM(DK14)/DK142</f>
        <v>78389</v>
      </c>
      <c r="DL113" s="111">
        <f>SUM(DL14)/DL142</f>
        <v>0</v>
      </c>
      <c r="DM113" s="111">
        <f>SUM(DM14)/DM142</f>
        <v>0</v>
      </c>
      <c r="DN113" s="111"/>
      <c r="DQ113" s="111">
        <f>SUM(DQ14)/DQ142</f>
        <v>3385.3540000000003</v>
      </c>
      <c r="DR113" s="111"/>
      <c r="DU113" s="111">
        <f>SUM(DU14)/DU142</f>
        <v>34445.519999999997</v>
      </c>
      <c r="DV113" s="111"/>
    </row>
    <row r="114" spans="1:232" ht="12.75" customHeight="1" x14ac:dyDescent="0.2">
      <c r="B114" s="5" t="s">
        <v>291</v>
      </c>
      <c r="E114" s="111">
        <f>SUM(E24)/E142</f>
        <v>-1504.2149253731343</v>
      </c>
      <c r="F114" s="111"/>
      <c r="I114" s="111">
        <f>SUM(I24)/I142</f>
        <v>3.1970000000003056</v>
      </c>
      <c r="J114" s="111"/>
      <c r="M114" s="111">
        <f>SUM(M24)/M142</f>
        <v>6079</v>
      </c>
      <c r="N114" s="111"/>
      <c r="Q114" s="111">
        <f>SUM(Q24)/Q142</f>
        <v>-178.82300000000009</v>
      </c>
      <c r="R114" s="111">
        <f>SUM(R24)/R142</f>
        <v>812.9390243902443</v>
      </c>
      <c r="S114" s="111"/>
      <c r="V114" s="111">
        <f>SUM(V24)/V142</f>
        <v>6231</v>
      </c>
      <c r="W114" s="111"/>
      <c r="Z114" s="111">
        <f>SUM(Z24)/Z142</f>
        <v>1633.201</v>
      </c>
      <c r="AA114" s="111"/>
      <c r="AD114" s="111">
        <f>SUM(AD24)/AD142</f>
        <v>942.87499999999864</v>
      </c>
      <c r="AE114" s="111"/>
      <c r="AH114" s="111">
        <f>SUM(AH24)/AH142</f>
        <v>5835</v>
      </c>
      <c r="AI114" s="111"/>
      <c r="AL114" s="111">
        <f>SUM(AL24)/AL142</f>
        <v>0</v>
      </c>
      <c r="AM114" s="111"/>
      <c r="AP114" s="111">
        <f>SUM(AP24)/AP142</f>
        <v>509.6050000000003</v>
      </c>
      <c r="AQ114" s="111"/>
      <c r="AT114" s="111">
        <f>SUM(AT24)/AT142</f>
        <v>8790.6</v>
      </c>
      <c r="AU114" s="111"/>
      <c r="AX114" s="111">
        <f>SUM(AX24)/AX142</f>
        <v>7575</v>
      </c>
      <c r="AY114" s="111"/>
      <c r="BB114" s="111">
        <f>SUM(BB24)/BB142</f>
        <v>-10.900000000000006</v>
      </c>
      <c r="BC114" s="111"/>
      <c r="BF114" s="111" t="e">
        <f>SUM(BF24)/BF142</f>
        <v>#DIV/0!</v>
      </c>
      <c r="BG114" s="111"/>
      <c r="BJ114" s="111">
        <f>SUM(BJ24)/BJ142</f>
        <v>14.009999999999854</v>
      </c>
      <c r="BK114" s="111"/>
      <c r="BN114" s="111">
        <f>SUM(BN24)/BN142</f>
        <v>-53.913999999999923</v>
      </c>
      <c r="BO114" s="111"/>
      <c r="BR114" s="111">
        <f>SUM(BR24)/BR142</f>
        <v>1161.1330000000003</v>
      </c>
      <c r="BS114" s="111"/>
      <c r="BV114" s="111">
        <f>SUM(BV24)/BV142</f>
        <v>44</v>
      </c>
      <c r="BW114" s="111"/>
      <c r="BZ114" s="111">
        <f>SUM(BZ24)/BZ142</f>
        <v>3847</v>
      </c>
      <c r="CA114" s="111"/>
      <c r="CD114" s="111">
        <f>SUM(CD24)/CD142</f>
        <v>20105.020000000004</v>
      </c>
      <c r="CE114" s="111"/>
      <c r="CH114" s="111"/>
      <c r="CI114" s="111"/>
      <c r="CL114" s="111">
        <f>SUM(CL24)/CL142</f>
        <v>12730</v>
      </c>
      <c r="CM114" s="111"/>
      <c r="CP114" s="111">
        <f>SUM(CP24)/CP142</f>
        <v>830.09499999999957</v>
      </c>
      <c r="CQ114" s="111"/>
      <c r="CT114" s="111">
        <f>SUM(CT24)/CT142</f>
        <v>-1202</v>
      </c>
      <c r="CU114" s="111"/>
      <c r="CX114" s="111">
        <f>SUM(CX24)/CX142</f>
        <v>4326</v>
      </c>
      <c r="CY114" s="111"/>
      <c r="DB114" s="111" t="e">
        <f>SUM(DB24)/DB142</f>
        <v>#DIV/0!</v>
      </c>
      <c r="DC114" s="111"/>
      <c r="DF114" s="111">
        <f>SUM(DF24)/DF142</f>
        <v>18706.458000000002</v>
      </c>
      <c r="DG114" s="111"/>
      <c r="DJ114" s="111">
        <f>SUM(DJ24)/DJ142</f>
        <v>2179</v>
      </c>
      <c r="DK114" s="111">
        <f>SUM(DK24)/DK142</f>
        <v>7623</v>
      </c>
      <c r="DL114" s="111">
        <f>SUM(DL24)/DL142</f>
        <v>0</v>
      </c>
      <c r="DM114" s="111">
        <f>SUM(DM24)/DM142</f>
        <v>50431</v>
      </c>
      <c r="DN114" s="111"/>
      <c r="DQ114" s="111">
        <f>SUM(DQ24)/DQ142</f>
        <v>132.35600000000068</v>
      </c>
      <c r="DR114" s="111"/>
      <c r="DU114" s="111">
        <f>SUM(DU24)/DU142</f>
        <v>6020.4889999999987</v>
      </c>
      <c r="DV114" s="111"/>
    </row>
    <row r="115" spans="1:232" ht="12.75" customHeight="1" x14ac:dyDescent="0.2">
      <c r="A115" s="74"/>
      <c r="B115" s="5" t="s">
        <v>292</v>
      </c>
      <c r="E115" s="55">
        <f>(E16+E17-E11)/E142</f>
        <v>112.20447761194031</v>
      </c>
      <c r="F115" s="120"/>
      <c r="I115" s="55">
        <f>(I16+I17-I11)/I142</f>
        <v>0</v>
      </c>
      <c r="J115" s="120"/>
      <c r="M115" s="55">
        <f>(M16+M17-M11)/M142</f>
        <v>179</v>
      </c>
      <c r="N115" s="120"/>
      <c r="Q115" s="55">
        <f>(Q16+Q17-Q11)/Q142</f>
        <v>397</v>
      </c>
      <c r="R115" s="55">
        <f>(R16+R17-R11)/R142</f>
        <v>171.53414634146341</v>
      </c>
      <c r="S115" s="120"/>
      <c r="V115" s="208">
        <f>(V16+V17-V11)/V142</f>
        <v>11088</v>
      </c>
      <c r="W115" s="120"/>
      <c r="Z115" s="55">
        <f>(Z16+Z17-Z11)/Z142</f>
        <v>0</v>
      </c>
      <c r="AA115" s="120"/>
      <c r="AD115" s="55">
        <f>(AD16+AD17-AD11)/AD142</f>
        <v>1954.2809999999999</v>
      </c>
      <c r="AE115" s="120"/>
      <c r="AH115" s="55">
        <f>(AH16+AH17-AH11)/AH142</f>
        <v>-245</v>
      </c>
      <c r="AI115" s="120"/>
      <c r="AL115" s="55">
        <f>(AL16+AL17-AL11)/AL142</f>
        <v>0</v>
      </c>
      <c r="AM115" s="120"/>
      <c r="AP115" s="55">
        <f>(AP16+AP17-AP11)/AP142</f>
        <v>156.5</v>
      </c>
      <c r="AQ115" s="120"/>
      <c r="AT115" s="55">
        <f>(AT16+AT17-AT11)/AT142</f>
        <v>3485.3550000000005</v>
      </c>
      <c r="AU115" s="120"/>
      <c r="AX115" s="55">
        <f>(AX16+AX17-AX11)/AX142</f>
        <v>367</v>
      </c>
      <c r="AY115" s="120"/>
      <c r="BB115" s="55">
        <f>(BB16+BB17-BB11)/BB142</f>
        <v>0</v>
      </c>
      <c r="BC115" s="120"/>
      <c r="BF115" s="55" t="e">
        <f>(BF16+BF17-BF11)/BF142</f>
        <v>#DIV/0!</v>
      </c>
      <c r="BG115" s="120"/>
      <c r="BJ115" s="55">
        <f>(BJ16+BJ17-BJ11)/BJ142</f>
        <v>0</v>
      </c>
      <c r="BK115" s="120"/>
      <c r="BN115" s="55">
        <f>(BN16+BN17-BN11)/BN142</f>
        <v>-38.012</v>
      </c>
      <c r="BO115" s="120"/>
      <c r="BR115" s="55">
        <f>(BR16+BR17-BR11)/BR142</f>
        <v>-59.511000000000003</v>
      </c>
      <c r="BS115" s="120"/>
      <c r="BV115" s="55">
        <f>(BV16+BV17-BV11)/BV142</f>
        <v>6.6429999999999998</v>
      </c>
      <c r="BW115" s="120"/>
      <c r="BZ115" s="55">
        <f>(BZ16+BZ17-BZ11)/BZ142</f>
        <v>909</v>
      </c>
      <c r="CA115" s="120"/>
      <c r="CD115" s="55">
        <f>(CD16+CD17-CD11)/CD142</f>
        <v>4568.2109999999993</v>
      </c>
      <c r="CE115" s="120"/>
      <c r="CH115" s="120"/>
      <c r="CI115" s="120"/>
      <c r="CL115" s="55">
        <f>(CL16+CL17-CL11)/CL142</f>
        <v>2416</v>
      </c>
      <c r="CM115" s="120"/>
      <c r="CP115" s="55">
        <f>(CP16+CP17-CP11)/CP142</f>
        <v>100.27000000000001</v>
      </c>
      <c r="CQ115" s="120"/>
      <c r="CT115" s="55">
        <f>(CT16+CT17-CT11)/CT142</f>
        <v>5391</v>
      </c>
      <c r="CU115" s="120"/>
      <c r="CX115" s="55">
        <f>(CX16+CX17-CX11)/CX142</f>
        <v>0</v>
      </c>
      <c r="CY115" s="120"/>
      <c r="DB115" s="55" t="e">
        <f>(DB16+DB17-DB11)/DB142</f>
        <v>#DIV/0!</v>
      </c>
      <c r="DC115" s="120"/>
      <c r="DF115" s="55">
        <f>(DF16+DF17-DF11)/DF142</f>
        <v>550.64699999999993</v>
      </c>
      <c r="DG115" s="120"/>
      <c r="DJ115" s="55">
        <f>(DJ16+DJ17-DJ11)/DJ142</f>
        <v>0</v>
      </c>
      <c r="DK115" s="55">
        <f>(DK16+DK17-DK11)/DK142</f>
        <v>0</v>
      </c>
      <c r="DL115" s="55">
        <f>(DL16+DL17-DL11)/DL142</f>
        <v>0</v>
      </c>
      <c r="DM115" s="55">
        <f>(DM16+DM17-DM11)/DM142</f>
        <v>0</v>
      </c>
      <c r="DN115" s="120"/>
      <c r="DQ115" s="55">
        <f>(DQ16+DQ17-DQ11)/DQ142</f>
        <v>0</v>
      </c>
      <c r="DR115" s="120"/>
      <c r="DU115" s="55">
        <f>(DU16+DU17-DU11)/DU142</f>
        <v>2080.9750000000004</v>
      </c>
      <c r="DV115" s="120"/>
      <c r="HI115" s="2" t="e">
        <f>(HI16+HI17-HI11)/HI142</f>
        <v>#DIV/0!</v>
      </c>
    </row>
    <row r="116" spans="1:232" ht="12.75" customHeight="1" x14ac:dyDescent="0.2">
      <c r="B116" s="5" t="s">
        <v>293</v>
      </c>
      <c r="E116" s="171">
        <f>(E17-E11)/E142</f>
        <v>0</v>
      </c>
      <c r="F116" s="150"/>
      <c r="I116" s="171">
        <f>(I17-I11)/I142</f>
        <v>0</v>
      </c>
      <c r="J116" s="150"/>
      <c r="M116" s="171">
        <f>(M17-M11)/M142</f>
        <v>-44</v>
      </c>
      <c r="N116" s="150"/>
      <c r="Q116" s="171">
        <f>(Q17-Q11)/Q142</f>
        <v>181</v>
      </c>
      <c r="R116" s="171">
        <f>(R17-R11)/R142</f>
        <v>0</v>
      </c>
      <c r="S116" s="150"/>
      <c r="V116" s="171">
        <f>(V17-V11)/V142</f>
        <v>7514</v>
      </c>
      <c r="W116" s="150"/>
      <c r="Z116" s="171">
        <f>(Z17-Z11)/Z142</f>
        <v>0</v>
      </c>
      <c r="AA116" s="150"/>
      <c r="AD116" s="171">
        <f>(AD17-AD11)/AD142</f>
        <v>0</v>
      </c>
      <c r="AE116" s="150"/>
      <c r="AH116" s="171">
        <f>(AH17-AH11)/AH142</f>
        <v>1481</v>
      </c>
      <c r="AI116" s="150"/>
      <c r="AL116" s="171">
        <f>(AL17-AL11)/AL142</f>
        <v>0</v>
      </c>
      <c r="AM116" s="150"/>
      <c r="AP116" s="171">
        <f>(AP17-AP11)/AP142</f>
        <v>0</v>
      </c>
      <c r="AQ116" s="150"/>
      <c r="AT116" s="171">
        <f>(AT17-AT11)/AT142</f>
        <v>1341.4680000000001</v>
      </c>
      <c r="AU116" s="150"/>
      <c r="AX116" s="171">
        <f>(AX17-AX11)/AX142</f>
        <v>367</v>
      </c>
      <c r="AY116" s="150"/>
      <c r="BB116" s="171">
        <f>(BB17-BB11)/BB142</f>
        <v>0</v>
      </c>
      <c r="BC116" s="150"/>
      <c r="BF116" s="171" t="e">
        <f>(BF17-BF11)/BF142</f>
        <v>#DIV/0!</v>
      </c>
      <c r="BG116" s="150"/>
      <c r="BJ116" s="171">
        <f>(BJ17-BJ11)/BJ142</f>
        <v>0</v>
      </c>
      <c r="BK116" s="150"/>
      <c r="BN116" s="171">
        <f>(BN17-BN11)/BN142</f>
        <v>65.635999999999996</v>
      </c>
      <c r="BO116" s="150"/>
      <c r="BR116" s="171">
        <f>(BR17-BR11)/BR142</f>
        <v>0</v>
      </c>
      <c r="BS116" s="150"/>
      <c r="BV116" s="171">
        <f>(BV17-BV11)/BV142</f>
        <v>0.64300000000000002</v>
      </c>
      <c r="BW116" s="150"/>
      <c r="BZ116" s="171">
        <f>(BZ17-BZ11)/BZ142</f>
        <v>909</v>
      </c>
      <c r="CA116" s="150"/>
      <c r="CD116" s="171">
        <f>(CD17-CD11)/CD142</f>
        <v>3094.97</v>
      </c>
      <c r="CE116" s="150"/>
      <c r="CH116" s="174"/>
      <c r="CI116" s="150"/>
      <c r="CL116" s="171">
        <f>(CL17-CL11)/CL142</f>
        <v>2416</v>
      </c>
      <c r="CM116" s="150"/>
      <c r="CP116" s="171">
        <f>(CP17-CP11)/CP142</f>
        <v>67.587000000000003</v>
      </c>
      <c r="CQ116" s="150"/>
      <c r="CT116" s="171">
        <f>(CT17-CT11)/CT142</f>
        <v>4486</v>
      </c>
      <c r="CU116" s="150"/>
      <c r="CX116" s="171">
        <f>(CX17-CX11)/CX142</f>
        <v>0</v>
      </c>
      <c r="CY116" s="174"/>
      <c r="DB116" s="171" t="e">
        <f>(DB17-DB11)/DB142</f>
        <v>#DIV/0!</v>
      </c>
      <c r="DC116" s="150"/>
      <c r="DF116" s="171">
        <f>(DF17-DF11)/DF142</f>
        <v>10.68</v>
      </c>
      <c r="DG116" s="150"/>
      <c r="DJ116" s="171">
        <f>(DJ17-DJ11)/DJ142</f>
        <v>0</v>
      </c>
      <c r="DK116" s="171">
        <f>(DK17-DK11)/DK142</f>
        <v>0</v>
      </c>
      <c r="DL116" s="171">
        <f>(DL17-DL11)/DL142</f>
        <v>0</v>
      </c>
      <c r="DM116" s="171">
        <f>(DM17-DM11)/DM142</f>
        <v>0</v>
      </c>
      <c r="DN116" s="150"/>
      <c r="DQ116" s="171">
        <f>(DQ17-DQ11)/DQ142</f>
        <v>0</v>
      </c>
      <c r="DR116" s="150"/>
      <c r="DU116" s="171">
        <f>(DU17-DU11)/DU142</f>
        <v>1142.2750000000001</v>
      </c>
      <c r="DV116" s="150"/>
    </row>
    <row r="117" spans="1:232" ht="12.75" customHeight="1" x14ac:dyDescent="0.2">
      <c r="A117" s="85"/>
      <c r="B117" s="85" t="s">
        <v>294</v>
      </c>
      <c r="C117" s="91"/>
      <c r="D117" s="92"/>
      <c r="E117" s="111">
        <f>SUM(E23)/E$142</f>
        <v>0</v>
      </c>
      <c r="F117" s="111" t="e">
        <f>SUM(F23)/F$142</f>
        <v>#DIV/0!</v>
      </c>
      <c r="G117" s="111" t="e">
        <f>SUM(G23)/G$142</f>
        <v>#DIV/0!</v>
      </c>
      <c r="H117" s="108"/>
      <c r="I117" s="111">
        <f>SUM(I23)/I$142</f>
        <v>1.742</v>
      </c>
      <c r="J117" s="111" t="e">
        <f>SUM(J23)/J$142</f>
        <v>#DIV/0!</v>
      </c>
      <c r="K117" s="111" t="e">
        <f>SUM(K23)/K$142</f>
        <v>#DIV/0!</v>
      </c>
      <c r="L117" s="108"/>
      <c r="M117" s="111">
        <f>SUM(M23)/M$142</f>
        <v>2526</v>
      </c>
      <c r="N117" s="111" t="e">
        <f>SUM(N23)/N$142</f>
        <v>#DIV/0!</v>
      </c>
      <c r="O117" s="111" t="e">
        <f>SUM(O23)/O$142</f>
        <v>#DIV/0!</v>
      </c>
      <c r="P117" s="108"/>
      <c r="Q117" s="111">
        <f>SUM(Q23)/Q$142</f>
        <v>0</v>
      </c>
      <c r="R117" s="111">
        <f>SUM(R23)/R$142</f>
        <v>462.23658536585367</v>
      </c>
      <c r="S117" s="111" t="e">
        <f>SUM(S23)/S$142</f>
        <v>#DIV/0!</v>
      </c>
      <c r="T117" s="111" t="e">
        <f>SUM(T23)/T$142</f>
        <v>#DIV/0!</v>
      </c>
      <c r="U117" s="108"/>
      <c r="V117" s="111">
        <f>SUM(V23)/V$142</f>
        <v>2482</v>
      </c>
      <c r="W117" s="111" t="e">
        <f>SUM(W23)/W$142</f>
        <v>#DIV/0!</v>
      </c>
      <c r="X117" s="111" t="e">
        <f>SUM(X23)/X$142</f>
        <v>#DIV/0!</v>
      </c>
      <c r="Y117" s="108"/>
      <c r="Z117" s="111">
        <f>SUM(Z23)/Z$142</f>
        <v>803.57399999999996</v>
      </c>
      <c r="AA117" s="111" t="e">
        <f>SUM(AA23)/AA$142</f>
        <v>#DIV/0!</v>
      </c>
      <c r="AB117" s="111" t="e">
        <f>SUM(AB23)/AB$142</f>
        <v>#DIV/0!</v>
      </c>
      <c r="AC117" s="108"/>
      <c r="AD117" s="111">
        <f>SUM(AD23)/AD$142</f>
        <v>303.565</v>
      </c>
      <c r="AE117" s="111" t="e">
        <f>SUM(AE23)/AE$142</f>
        <v>#DIV/0!</v>
      </c>
      <c r="AF117" s="111" t="e">
        <f>SUM(AF23)/AF$142</f>
        <v>#DIV/0!</v>
      </c>
      <c r="AG117" s="108"/>
      <c r="AH117" s="111">
        <f>SUM(AH23)/AH$142</f>
        <v>2895</v>
      </c>
      <c r="AI117" s="111" t="e">
        <f>SUM(AI23)/AI$142</f>
        <v>#DIV/0!</v>
      </c>
      <c r="AJ117" s="111" t="e">
        <f>SUM(AJ23)/AJ$142</f>
        <v>#DIV/0!</v>
      </c>
      <c r="AK117" s="108"/>
      <c r="AL117" s="111">
        <f>SUM(AL23)/AL$142</f>
        <v>0</v>
      </c>
      <c r="AM117" s="111" t="e">
        <f>SUM(AM23)/AM$142</f>
        <v>#DIV/0!</v>
      </c>
      <c r="AN117" s="111" t="e">
        <f>SUM(AN23)/AN$142</f>
        <v>#DIV/0!</v>
      </c>
      <c r="AO117" s="108"/>
      <c r="AP117" s="111">
        <f>SUM(AP23)/AP$142</f>
        <v>166.02600000000001</v>
      </c>
      <c r="AQ117" s="111" t="e">
        <f>SUM(AQ23)/AQ$142</f>
        <v>#DIV/0!</v>
      </c>
      <c r="AR117" s="111" t="e">
        <f>SUM(AR23)/AR$142</f>
        <v>#DIV/0!</v>
      </c>
      <c r="AS117" s="108"/>
      <c r="AT117" s="111">
        <f>SUM(AT23)/AT$142</f>
        <v>5351.0990000000002</v>
      </c>
      <c r="AU117" s="111" t="e">
        <f>SUM(AU23)/AU$142</f>
        <v>#DIV/0!</v>
      </c>
      <c r="AV117" s="111" t="e">
        <f>SUM(AV23)/AV$142</f>
        <v>#DIV/0!</v>
      </c>
      <c r="AW117" s="108"/>
      <c r="AX117" s="111">
        <f>SUM(AX23)/AX$142</f>
        <v>3214</v>
      </c>
      <c r="AY117" s="111" t="e">
        <f>SUM(AY23)/AY$142</f>
        <v>#DIV/0!</v>
      </c>
      <c r="AZ117" s="111" t="e">
        <f>SUM(AZ23)/AZ$142</f>
        <v>#DIV/0!</v>
      </c>
      <c r="BA117" s="108"/>
      <c r="BB117" s="111">
        <f>SUM(BB23)/BB$142</f>
        <v>0</v>
      </c>
      <c r="BC117" s="111" t="e">
        <f>SUM(BC23)/BC$142</f>
        <v>#DIV/0!</v>
      </c>
      <c r="BD117" s="111" t="e">
        <f>SUM(BD23)/BD$142</f>
        <v>#DIV/0!</v>
      </c>
      <c r="BE117" s="108"/>
      <c r="BF117" s="111" t="e">
        <f>SUM(BF23)/BF$142</f>
        <v>#DIV/0!</v>
      </c>
      <c r="BG117" s="111" t="e">
        <f>SUM(BG23)/BG$142</f>
        <v>#DIV/0!</v>
      </c>
      <c r="BH117" s="111" t="e">
        <f>SUM(BH23)/BH$142</f>
        <v>#DIV/0!</v>
      </c>
      <c r="BI117" s="108"/>
      <c r="BJ117" s="111">
        <f>SUM(BJ23)/BJ$142</f>
        <v>6.9</v>
      </c>
      <c r="BK117" s="111" t="e">
        <f>SUM(BK23)/BK$142</f>
        <v>#DIV/0!</v>
      </c>
      <c r="BL117" s="111" t="e">
        <f>SUM(BL23)/BL$142</f>
        <v>#DIV/0!</v>
      </c>
      <c r="BM117" s="108"/>
      <c r="BN117" s="111">
        <f>SUM(BN23)/BN$142</f>
        <v>34.204000000000001</v>
      </c>
      <c r="BO117" s="111" t="e">
        <f>SUM(BO23)/BO$142</f>
        <v>#DIV/0!</v>
      </c>
      <c r="BP117" s="111" t="e">
        <f>SUM(BP23)/BP$142</f>
        <v>#DIV/0!</v>
      </c>
      <c r="BQ117" s="108"/>
      <c r="BR117" s="111">
        <f>SUM(BR23)/BR$142</f>
        <v>591.68600000000004</v>
      </c>
      <c r="BS117" s="111" t="e">
        <f>SUM(BS23)/BS$142</f>
        <v>#DIV/0!</v>
      </c>
      <c r="BT117" s="111"/>
      <c r="BU117" s="108"/>
      <c r="BV117" s="111">
        <f>SUM(BV23)/BV$142</f>
        <v>9</v>
      </c>
      <c r="BW117" s="111"/>
      <c r="BX117" s="111" t="e">
        <f>SUM(BX23)/BX$142</f>
        <v>#DIV/0!</v>
      </c>
      <c r="BY117" s="108"/>
      <c r="BZ117" s="111">
        <f>SUM(BZ23)/BZ$142</f>
        <v>1344</v>
      </c>
      <c r="CA117" s="111" t="e">
        <f>SUM(CA23)/CA$142</f>
        <v>#DIV/0!</v>
      </c>
      <c r="CB117" s="111" t="e">
        <f>SUM(CB23)/CB$142</f>
        <v>#DIV/0!</v>
      </c>
      <c r="CC117" s="108"/>
      <c r="CD117" s="111">
        <f>SUM(CD23)/CD$142</f>
        <v>4487.5110000000004</v>
      </c>
      <c r="CE117" s="111" t="e">
        <f>SUM(CE23)/CE$142</f>
        <v>#DIV/0!</v>
      </c>
      <c r="CF117" s="111" t="e">
        <f>SUM(CF23)/CF$142</f>
        <v>#DIV/0!</v>
      </c>
      <c r="CG117" s="108"/>
      <c r="CH117" s="111" t="e">
        <f>SUM(CH23)/CH$142</f>
        <v>#DIV/0!</v>
      </c>
      <c r="CI117" s="111" t="e">
        <f>SUM(CI23)/CI$142</f>
        <v>#DIV/0!</v>
      </c>
      <c r="CJ117" s="111" t="e">
        <f>SUM(CJ23)/CJ$142</f>
        <v>#DIV/0!</v>
      </c>
      <c r="CK117" s="108"/>
      <c r="CL117" s="111">
        <f>SUM(CL23)/CL$142</f>
        <v>5610</v>
      </c>
      <c r="CM117" s="111" t="e">
        <f>SUM(CM23)/CM$142</f>
        <v>#DIV/0!</v>
      </c>
      <c r="CN117" s="111" t="e">
        <f>SUM(CN23)/CN$142</f>
        <v>#DIV/0!</v>
      </c>
      <c r="CO117" s="108"/>
      <c r="CP117" s="111">
        <f>SUM(CP23)/CP$142</f>
        <v>416.51900000000001</v>
      </c>
      <c r="CQ117" s="111" t="e">
        <f>SUM(CQ23)/CQ$142</f>
        <v>#DIV/0!</v>
      </c>
      <c r="CR117" s="111" t="e">
        <f>SUM(CR23)/CR$142</f>
        <v>#DIV/0!</v>
      </c>
      <c r="CS117" s="108"/>
      <c r="CT117" s="111">
        <f>SUM(CT23)/CT$142</f>
        <v>-629</v>
      </c>
      <c r="CU117" s="111" t="e">
        <f>SUM(CU23)/CU$142</f>
        <v>#DIV/0!</v>
      </c>
      <c r="CV117" s="111" t="e">
        <f>SUM(CV23)/CV$142</f>
        <v>#DIV/0!</v>
      </c>
      <c r="CW117" s="108"/>
      <c r="CX117" s="111">
        <f>SUM(CX23)/CX$142</f>
        <v>227</v>
      </c>
      <c r="CY117" s="111" t="e">
        <f>SUM(CY23)/CY$142</f>
        <v>#DIV/0!</v>
      </c>
      <c r="CZ117" s="111" t="e">
        <f>SUM(CZ23)/CZ$142</f>
        <v>#DIV/0!</v>
      </c>
      <c r="DA117" s="108"/>
      <c r="DB117" s="111" t="e">
        <f>SUM(DB23)/DB$142</f>
        <v>#DIV/0!</v>
      </c>
      <c r="DC117" s="111" t="e">
        <f>SUM(DC23)/DC$142</f>
        <v>#DIV/0!</v>
      </c>
      <c r="DD117" s="111" t="e">
        <f>SUM(DD23)/DD$142</f>
        <v>#DIV/0!</v>
      </c>
      <c r="DE117" s="108"/>
      <c r="DF117" s="111">
        <f>SUM(DF23)/DF$142</f>
        <v>9759.6239999999998</v>
      </c>
      <c r="DG117" s="111" t="e">
        <f>SUM(DG23)/DG$142</f>
        <v>#DIV/0!</v>
      </c>
      <c r="DH117" s="111" t="e">
        <f>SUM(DH23)/DH$142</f>
        <v>#DIV/0!</v>
      </c>
      <c r="DI117" s="108"/>
      <c r="DJ117" s="111">
        <f t="shared" ref="DJ117:DO117" si="44">SUM(DJ23)/DJ$142</f>
        <v>45777</v>
      </c>
      <c r="DK117" s="111">
        <f t="shared" si="44"/>
        <v>15086</v>
      </c>
      <c r="DL117" s="111">
        <f t="shared" si="44"/>
        <v>0</v>
      </c>
      <c r="DM117" s="111">
        <f t="shared" si="44"/>
        <v>29325</v>
      </c>
      <c r="DN117" s="111" t="e">
        <f t="shared" si="44"/>
        <v>#DIV/0!</v>
      </c>
      <c r="DO117" s="111" t="e">
        <f t="shared" si="44"/>
        <v>#DIV/0!</v>
      </c>
      <c r="DP117" s="108"/>
      <c r="DQ117" s="111">
        <f>SUM(DQ23)/DQ$142</f>
        <v>0</v>
      </c>
      <c r="DR117" s="111" t="e">
        <f>SUM(DR23)/DR$142</f>
        <v>#DIV/0!</v>
      </c>
      <c r="DS117" s="111" t="e">
        <f>SUM(DS23)/DS$142</f>
        <v>#DIV/0!</v>
      </c>
      <c r="DT117" s="108"/>
      <c r="DU117" s="111">
        <f>SUM(DU23)/DU$142</f>
        <v>2985.9520000000002</v>
      </c>
      <c r="DV117" s="111" t="e">
        <f>SUM(DV23)/DV$142</f>
        <v>#DIV/0!</v>
      </c>
      <c r="FV117" s="111" t="e">
        <f t="shared" ref="FV117:HA117" si="45">SUM(FV23)/FV$142</f>
        <v>#DIV/0!</v>
      </c>
      <c r="FW117" s="111" t="e">
        <f t="shared" si="45"/>
        <v>#DIV/0!</v>
      </c>
      <c r="FX117" s="111" t="e">
        <f t="shared" si="45"/>
        <v>#DIV/0!</v>
      </c>
      <c r="FY117" s="111" t="e">
        <f t="shared" si="45"/>
        <v>#DIV/0!</v>
      </c>
      <c r="FZ117" s="111" t="e">
        <f t="shared" si="45"/>
        <v>#DIV/0!</v>
      </c>
      <c r="GA117" s="111" t="e">
        <f t="shared" si="45"/>
        <v>#DIV/0!</v>
      </c>
      <c r="GB117" s="111" t="e">
        <f t="shared" si="45"/>
        <v>#DIV/0!</v>
      </c>
      <c r="GC117" s="111" t="e">
        <f t="shared" si="45"/>
        <v>#DIV/0!</v>
      </c>
      <c r="GD117" s="111" t="e">
        <f t="shared" si="45"/>
        <v>#DIV/0!</v>
      </c>
      <c r="GE117" s="111" t="e">
        <f t="shared" si="45"/>
        <v>#DIV/0!</v>
      </c>
      <c r="GF117" s="111" t="e">
        <f t="shared" si="45"/>
        <v>#DIV/0!</v>
      </c>
      <c r="GG117" s="111" t="e">
        <f t="shared" si="45"/>
        <v>#DIV/0!</v>
      </c>
      <c r="GH117" s="111" t="e">
        <f t="shared" si="45"/>
        <v>#DIV/0!</v>
      </c>
      <c r="GI117" s="111" t="e">
        <f t="shared" si="45"/>
        <v>#DIV/0!</v>
      </c>
      <c r="GJ117" s="111" t="e">
        <f t="shared" si="45"/>
        <v>#DIV/0!</v>
      </c>
      <c r="GK117" s="111" t="e">
        <f t="shared" si="45"/>
        <v>#DIV/0!</v>
      </c>
      <c r="GL117" s="111" t="e">
        <f t="shared" si="45"/>
        <v>#DIV/0!</v>
      </c>
      <c r="GM117" s="111" t="e">
        <f t="shared" si="45"/>
        <v>#DIV/0!</v>
      </c>
      <c r="GN117" s="111" t="e">
        <f t="shared" si="45"/>
        <v>#DIV/0!</v>
      </c>
      <c r="GO117" s="111" t="e">
        <f t="shared" si="45"/>
        <v>#DIV/0!</v>
      </c>
      <c r="GP117" s="111" t="e">
        <f t="shared" si="45"/>
        <v>#DIV/0!</v>
      </c>
      <c r="GQ117" s="111" t="e">
        <f t="shared" si="45"/>
        <v>#DIV/0!</v>
      </c>
      <c r="GR117" s="111" t="e">
        <f t="shared" si="45"/>
        <v>#DIV/0!</v>
      </c>
      <c r="GS117" s="111" t="e">
        <f t="shared" si="45"/>
        <v>#DIV/0!</v>
      </c>
      <c r="GT117" s="111" t="e">
        <f t="shared" si="45"/>
        <v>#DIV/0!</v>
      </c>
      <c r="GU117" s="111" t="e">
        <f t="shared" si="45"/>
        <v>#DIV/0!</v>
      </c>
      <c r="GV117" s="111" t="e">
        <f t="shared" si="45"/>
        <v>#DIV/0!</v>
      </c>
      <c r="GW117" s="111" t="e">
        <f t="shared" si="45"/>
        <v>#DIV/0!</v>
      </c>
      <c r="GX117" s="111" t="e">
        <f t="shared" si="45"/>
        <v>#DIV/0!</v>
      </c>
      <c r="GY117" s="111" t="e">
        <f t="shared" si="45"/>
        <v>#DIV/0!</v>
      </c>
      <c r="GZ117" s="111" t="e">
        <f t="shared" si="45"/>
        <v>#DIV/0!</v>
      </c>
      <c r="HA117" s="111" t="e">
        <f t="shared" si="45"/>
        <v>#DIV/0!</v>
      </c>
      <c r="HB117" s="111" t="e">
        <f t="shared" ref="HB117:HX117" si="46">SUM(HB23)/HB$142</f>
        <v>#DIV/0!</v>
      </c>
      <c r="HC117" s="111" t="e">
        <f t="shared" si="46"/>
        <v>#DIV/0!</v>
      </c>
      <c r="HD117" s="111" t="e">
        <f t="shared" si="46"/>
        <v>#DIV/0!</v>
      </c>
      <c r="HE117" s="111" t="e">
        <f t="shared" si="46"/>
        <v>#DIV/0!</v>
      </c>
      <c r="HF117" s="111" t="e">
        <f t="shared" si="46"/>
        <v>#DIV/0!</v>
      </c>
      <c r="HG117" s="111" t="e">
        <f t="shared" si="46"/>
        <v>#DIV/0!</v>
      </c>
      <c r="HH117" s="111" t="e">
        <f t="shared" si="46"/>
        <v>#DIV/0!</v>
      </c>
      <c r="HI117" s="111" t="e">
        <f t="shared" si="46"/>
        <v>#DIV/0!</v>
      </c>
      <c r="HJ117" s="111" t="e">
        <f t="shared" si="46"/>
        <v>#DIV/0!</v>
      </c>
      <c r="HK117" s="111" t="e">
        <f t="shared" si="46"/>
        <v>#DIV/0!</v>
      </c>
      <c r="HL117" s="111" t="e">
        <f t="shared" si="46"/>
        <v>#DIV/0!</v>
      </c>
      <c r="HM117" s="111" t="e">
        <f t="shared" si="46"/>
        <v>#DIV/0!</v>
      </c>
      <c r="HN117" s="111" t="e">
        <f t="shared" si="46"/>
        <v>#DIV/0!</v>
      </c>
      <c r="HO117" s="111" t="e">
        <f t="shared" si="46"/>
        <v>#DIV/0!</v>
      </c>
      <c r="HP117" s="111" t="e">
        <f t="shared" si="46"/>
        <v>#DIV/0!</v>
      </c>
      <c r="HQ117" s="111" t="e">
        <f t="shared" si="46"/>
        <v>#DIV/0!</v>
      </c>
      <c r="HR117" s="111" t="e">
        <f t="shared" si="46"/>
        <v>#DIV/0!</v>
      </c>
      <c r="HS117" s="111" t="e">
        <f t="shared" si="46"/>
        <v>#DIV/0!</v>
      </c>
      <c r="HT117" s="111" t="e">
        <f t="shared" si="46"/>
        <v>#DIV/0!</v>
      </c>
      <c r="HU117" s="111" t="e">
        <f t="shared" si="46"/>
        <v>#DIV/0!</v>
      </c>
      <c r="HV117" s="111" t="e">
        <f t="shared" si="46"/>
        <v>#DIV/0!</v>
      </c>
      <c r="HW117" s="111" t="e">
        <f t="shared" si="46"/>
        <v>#DIV/0!</v>
      </c>
      <c r="HX117" s="111" t="e">
        <f t="shared" si="46"/>
        <v>#DIV/0!</v>
      </c>
    </row>
    <row r="118" spans="1:232" ht="12.75" customHeight="1" x14ac:dyDescent="0.2">
      <c r="A118" s="85"/>
      <c r="B118" s="85"/>
      <c r="C118" s="91"/>
      <c r="D118" s="92"/>
      <c r="E118" s="85"/>
      <c r="F118" s="85"/>
      <c r="G118" s="91"/>
      <c r="H118" s="92"/>
      <c r="I118" s="85"/>
      <c r="J118" s="85"/>
      <c r="K118" s="91"/>
      <c r="L118" s="92"/>
      <c r="M118" s="85"/>
      <c r="N118" s="85"/>
      <c r="O118" s="91"/>
      <c r="P118" s="92"/>
      <c r="Q118" s="85"/>
      <c r="S118" s="85"/>
      <c r="T118" s="91"/>
      <c r="U118" s="92"/>
      <c r="V118" s="84"/>
      <c r="W118" s="85"/>
      <c r="X118" s="91"/>
      <c r="Y118" s="92"/>
      <c r="Z118" s="85"/>
      <c r="AA118" s="85"/>
      <c r="AB118" s="91"/>
      <c r="AC118" s="92"/>
      <c r="AD118" s="85"/>
      <c r="AE118" s="85"/>
      <c r="AF118" s="91"/>
      <c r="AG118" s="92"/>
      <c r="AH118" s="85"/>
      <c r="AI118" s="85"/>
      <c r="AJ118" s="91"/>
      <c r="AK118" s="92"/>
      <c r="AL118" s="85"/>
      <c r="AM118" s="85"/>
      <c r="AN118" s="91"/>
      <c r="AO118" s="92"/>
      <c r="AP118" s="85"/>
      <c r="AQ118" s="85"/>
      <c r="AR118" s="91"/>
      <c r="AS118" s="92"/>
      <c r="AT118" s="85"/>
      <c r="AU118" s="85"/>
      <c r="AV118" s="91"/>
      <c r="AW118" s="92"/>
      <c r="AX118" s="85"/>
      <c r="AY118" s="85"/>
      <c r="AZ118" s="91"/>
      <c r="BA118" s="92"/>
      <c r="BB118" s="85"/>
      <c r="BC118" s="85"/>
      <c r="BD118" s="91"/>
      <c r="BE118" s="92"/>
      <c r="BF118" s="85"/>
      <c r="BG118" s="85"/>
      <c r="BH118" s="91"/>
      <c r="BI118" s="92"/>
      <c r="BJ118" s="85"/>
      <c r="BK118" s="85"/>
      <c r="BL118" s="91"/>
      <c r="BM118" s="92"/>
      <c r="BN118" s="85"/>
      <c r="BO118" s="85"/>
      <c r="BP118" s="91"/>
      <c r="BQ118" s="92"/>
      <c r="BR118" s="85"/>
      <c r="BS118" s="85"/>
      <c r="BT118" s="91"/>
      <c r="BU118" s="92"/>
      <c r="BV118" s="85"/>
      <c r="BW118" s="85"/>
      <c r="BX118" s="91"/>
      <c r="BY118" s="92"/>
      <c r="BZ118" s="85"/>
      <c r="CA118" s="85"/>
      <c r="CB118" s="91"/>
      <c r="CC118" s="92"/>
      <c r="CD118" s="85"/>
      <c r="CE118" s="85"/>
      <c r="CF118" s="91"/>
      <c r="CG118" s="92"/>
      <c r="CH118" s="85"/>
      <c r="CI118" s="85"/>
      <c r="CJ118" s="91"/>
      <c r="CK118" s="92"/>
      <c r="CL118" s="85"/>
      <c r="CM118" s="85"/>
      <c r="CN118" s="91"/>
      <c r="CO118" s="92"/>
      <c r="CP118" s="85"/>
      <c r="CQ118" s="85"/>
      <c r="CR118" s="91"/>
      <c r="CS118" s="92"/>
      <c r="CT118" s="85"/>
      <c r="CU118" s="85"/>
      <c r="CV118" s="91"/>
      <c r="CW118" s="92"/>
      <c r="CX118" s="85"/>
      <c r="CY118" s="85"/>
      <c r="CZ118" s="91"/>
      <c r="DA118" s="92"/>
      <c r="DB118" s="85"/>
      <c r="DC118" s="85"/>
      <c r="DD118" s="91"/>
      <c r="DE118" s="92"/>
      <c r="DF118" s="85"/>
      <c r="DG118" s="85"/>
      <c r="DH118" s="91"/>
      <c r="DI118" s="92"/>
      <c r="DJ118" s="85"/>
      <c r="DK118" s="85"/>
      <c r="DL118" s="85"/>
      <c r="DM118" s="85"/>
      <c r="DN118" s="85"/>
      <c r="DO118" s="91"/>
      <c r="DP118" s="92"/>
      <c r="DQ118" s="85"/>
      <c r="DR118" s="85"/>
      <c r="DS118" s="91"/>
      <c r="DT118" s="92"/>
      <c r="DU118" s="85"/>
      <c r="DV118" s="85"/>
    </row>
    <row r="119" spans="1:232" ht="12.75" customHeight="1" x14ac:dyDescent="0.2">
      <c r="A119" s="148" t="s">
        <v>295</v>
      </c>
      <c r="B119" s="148"/>
      <c r="C119" s="91"/>
      <c r="D119" s="92"/>
      <c r="E119" s="85"/>
      <c r="F119" s="85"/>
      <c r="G119" s="91"/>
      <c r="H119" s="92"/>
      <c r="I119" s="85"/>
      <c r="J119" s="85"/>
      <c r="K119" s="91"/>
      <c r="L119" s="92"/>
      <c r="M119" s="85"/>
      <c r="N119" s="85"/>
      <c r="O119" s="91"/>
      <c r="P119" s="92"/>
      <c r="Q119" s="85"/>
      <c r="S119" s="85"/>
      <c r="T119" s="91"/>
      <c r="U119" s="92"/>
      <c r="V119" s="84"/>
      <c r="W119" s="85"/>
      <c r="X119" s="91"/>
      <c r="Y119" s="92"/>
      <c r="Z119" s="85"/>
      <c r="AA119" s="85"/>
      <c r="AB119" s="91"/>
      <c r="AC119" s="92"/>
      <c r="AD119" s="85"/>
      <c r="AE119" s="85"/>
      <c r="AF119" s="91"/>
      <c r="AG119" s="92"/>
      <c r="AH119" s="85"/>
      <c r="AI119" s="85"/>
      <c r="AJ119" s="91"/>
      <c r="AK119" s="92"/>
      <c r="AL119" s="85"/>
      <c r="AM119" s="85"/>
      <c r="AN119" s="91"/>
      <c r="AO119" s="92"/>
      <c r="AP119" s="85"/>
      <c r="AQ119" s="85"/>
      <c r="AR119" s="91"/>
      <c r="AS119" s="92"/>
      <c r="AT119" s="85"/>
      <c r="AU119" s="85"/>
      <c r="AV119" s="91"/>
      <c r="AW119" s="92"/>
      <c r="AX119" s="85"/>
      <c r="AY119" s="85"/>
      <c r="AZ119" s="91"/>
      <c r="BA119" s="92"/>
      <c r="BB119" s="85"/>
      <c r="BC119" s="85"/>
      <c r="BD119" s="91"/>
      <c r="BE119" s="92"/>
      <c r="BF119" s="85"/>
      <c r="BG119" s="85"/>
      <c r="BH119" s="91"/>
      <c r="BI119" s="92"/>
      <c r="BJ119" s="85"/>
      <c r="BK119" s="85"/>
      <c r="BL119" s="91"/>
      <c r="BM119" s="92"/>
      <c r="BN119" s="85"/>
      <c r="BO119" s="85"/>
      <c r="BP119" s="91"/>
      <c r="BQ119" s="92"/>
      <c r="BR119" s="85"/>
      <c r="BS119" s="85"/>
      <c r="BT119" s="91"/>
      <c r="BU119" s="92"/>
      <c r="BV119" s="85"/>
      <c r="BW119" s="85"/>
      <c r="BX119" s="91"/>
      <c r="BY119" s="92"/>
      <c r="BZ119" s="85"/>
      <c r="CA119" s="85"/>
      <c r="CB119" s="91"/>
      <c r="CC119" s="92"/>
      <c r="CD119" s="85"/>
      <c r="CE119" s="85"/>
      <c r="CF119" s="91"/>
      <c r="CG119" s="92"/>
      <c r="CH119" s="85"/>
      <c r="CI119" s="85"/>
      <c r="CJ119" s="91"/>
      <c r="CK119" s="92"/>
      <c r="CL119" s="85"/>
      <c r="CM119" s="85"/>
      <c r="CN119" s="91"/>
      <c r="CO119" s="92"/>
      <c r="CP119" s="85"/>
      <c r="CQ119" s="85"/>
      <c r="CR119" s="91"/>
      <c r="CS119" s="92"/>
      <c r="CT119" s="85"/>
      <c r="CU119" s="85"/>
      <c r="CV119" s="91"/>
      <c r="CW119" s="92"/>
      <c r="CX119" s="85"/>
      <c r="CY119" s="85"/>
      <c r="CZ119" s="91"/>
      <c r="DA119" s="92"/>
      <c r="DB119" s="85"/>
      <c r="DC119" s="85"/>
      <c r="DD119" s="91"/>
      <c r="DE119" s="92"/>
      <c r="DF119" s="85"/>
      <c r="DG119" s="85"/>
      <c r="DH119" s="91"/>
      <c r="DI119" s="92"/>
      <c r="DJ119" s="85"/>
      <c r="DK119" s="85"/>
      <c r="DL119" s="85"/>
      <c r="DM119" s="85"/>
      <c r="DN119" s="85"/>
      <c r="DO119" s="91"/>
      <c r="DP119" s="92"/>
      <c r="DQ119" s="85"/>
      <c r="DR119" s="85"/>
      <c r="DS119" s="91"/>
      <c r="DT119" s="92"/>
      <c r="DU119" s="85"/>
      <c r="DV119" s="85"/>
    </row>
    <row r="120" spans="1:232" s="176" customFormat="1" ht="12.75" customHeight="1" x14ac:dyDescent="0.2">
      <c r="A120" s="10"/>
      <c r="B120" s="175" t="s">
        <v>296</v>
      </c>
      <c r="C120" s="10"/>
      <c r="D120" s="10"/>
      <c r="E120" s="108">
        <f t="shared" ref="E120:BO120" si="47">AVERAGE(E30:F30)</f>
        <v>24210.044000000002</v>
      </c>
      <c r="F120" s="108" t="e">
        <f t="shared" si="47"/>
        <v>#DIV/0!</v>
      </c>
      <c r="G120" s="108">
        <f>AVERAGE(G30:I30)</f>
        <v>257005.97099999999</v>
      </c>
      <c r="H120" s="108"/>
      <c r="I120" s="108">
        <f t="shared" si="47"/>
        <v>257005.18050000002</v>
      </c>
      <c r="J120" s="108">
        <f t="shared" si="47"/>
        <v>257004.39</v>
      </c>
      <c r="K120" s="108">
        <f>AVERAGE(K30:M30)</f>
        <v>351193</v>
      </c>
      <c r="L120" s="108"/>
      <c r="M120" s="108">
        <f t="shared" si="47"/>
        <v>341568.5</v>
      </c>
      <c r="N120" s="108">
        <f t="shared" si="47"/>
        <v>331944</v>
      </c>
      <c r="O120" s="108">
        <f>AVERAGE(O30:Q30)</f>
        <v>51189</v>
      </c>
      <c r="P120" s="108"/>
      <c r="Q120" s="108">
        <f t="shared" si="47"/>
        <v>45391.169500000004</v>
      </c>
      <c r="R120" s="108">
        <f t="shared" si="47"/>
        <v>38002.83</v>
      </c>
      <c r="S120" s="108">
        <f t="shared" si="47"/>
        <v>36412.321000000004</v>
      </c>
      <c r="T120" s="108">
        <f>AVERAGE(T30:V30)</f>
        <v>295400</v>
      </c>
      <c r="U120" s="108"/>
      <c r="V120" s="108">
        <f t="shared" si="47"/>
        <v>240697</v>
      </c>
      <c r="W120" s="108">
        <f t="shared" si="47"/>
        <v>185994</v>
      </c>
      <c r="X120" s="108">
        <f>AVERAGE(X30:Z30)</f>
        <v>92974.442999999999</v>
      </c>
      <c r="Y120" s="108"/>
      <c r="Z120" s="108">
        <f t="shared" si="47"/>
        <v>82171.054999999993</v>
      </c>
      <c r="AA120" s="108">
        <f t="shared" si="47"/>
        <v>71367.667000000001</v>
      </c>
      <c r="AB120" s="108">
        <f>AVERAGE(AB30:AD30)</f>
        <v>61703.133000000002</v>
      </c>
      <c r="AC120" s="108"/>
      <c r="AD120" s="108">
        <f t="shared" si="47"/>
        <v>53044.750500000002</v>
      </c>
      <c r="AE120" s="108">
        <f t="shared" si="47"/>
        <v>44386.368000000002</v>
      </c>
      <c r="AF120" s="108">
        <f>AVERAGE(AF30:AH30)</f>
        <v>434771</v>
      </c>
      <c r="AG120" s="108"/>
      <c r="AH120" s="108">
        <f t="shared" si="47"/>
        <v>424421</v>
      </c>
      <c r="AI120" s="108">
        <f t="shared" si="47"/>
        <v>414071</v>
      </c>
      <c r="AJ120" s="108">
        <f>AVERAGE(AJ30:AL30)</f>
        <v>5676.6329999999998</v>
      </c>
      <c r="AK120" s="108"/>
      <c r="AL120" s="108">
        <f t="shared" si="47"/>
        <v>2838.8164999999999</v>
      </c>
      <c r="AM120" s="108">
        <f t="shared" si="47"/>
        <v>1</v>
      </c>
      <c r="AN120" s="108">
        <f>AVERAGE(AN30:AP30)</f>
        <v>36387.550000000003</v>
      </c>
      <c r="AO120" s="108"/>
      <c r="AP120" s="108">
        <f t="shared" si="47"/>
        <v>22239.478999999999</v>
      </c>
      <c r="AQ120" s="108">
        <f t="shared" si="47"/>
        <v>8091.4079999999994</v>
      </c>
      <c r="AR120" s="108">
        <f>AVERAGE(AR30:AT30)</f>
        <v>147694.88</v>
      </c>
      <c r="AS120" s="108"/>
      <c r="AT120" s="108">
        <f t="shared" si="47"/>
        <v>114341.583</v>
      </c>
      <c r="AU120" s="108">
        <f t="shared" si="47"/>
        <v>80988.285999999993</v>
      </c>
      <c r="AV120" s="108">
        <f>AVERAGE(AV30:AX30)</f>
        <v>759065</v>
      </c>
      <c r="AW120" s="108"/>
      <c r="AX120" s="108">
        <f t="shared" si="47"/>
        <v>710610</v>
      </c>
      <c r="AY120" s="108">
        <f t="shared" si="47"/>
        <v>662155</v>
      </c>
      <c r="AZ120" s="108">
        <f>AVERAGE(AZ30:BB30)</f>
        <v>838.56100000000004</v>
      </c>
      <c r="BA120" s="108"/>
      <c r="BB120" s="108">
        <f t="shared" si="47"/>
        <v>838.56100000000004</v>
      </c>
      <c r="BC120" s="108" t="e">
        <f t="shared" si="47"/>
        <v>#DIV/0!</v>
      </c>
      <c r="BD120" s="108" t="e">
        <f>AVERAGE(BD30:BF30)</f>
        <v>#DIV/0!</v>
      </c>
      <c r="BE120" s="108"/>
      <c r="BF120" s="108" t="e">
        <f t="shared" si="47"/>
        <v>#DIV/0!</v>
      </c>
      <c r="BG120" s="108" t="e">
        <f t="shared" si="47"/>
        <v>#DIV/0!</v>
      </c>
      <c r="BH120" s="108">
        <f>AVERAGE(BH30:BJ30)</f>
        <v>21823.235000000001</v>
      </c>
      <c r="BI120" s="108"/>
      <c r="BJ120" s="108">
        <f t="shared" si="47"/>
        <v>16514.726000000002</v>
      </c>
      <c r="BK120" s="108">
        <f t="shared" si="47"/>
        <v>11206.217000000001</v>
      </c>
      <c r="BL120" s="108">
        <f>AVERAGE(BL30:BN30)</f>
        <v>4299.009</v>
      </c>
      <c r="BM120" s="108"/>
      <c r="BN120" s="108">
        <f t="shared" si="47"/>
        <v>3504.8225000000002</v>
      </c>
      <c r="BO120" s="108">
        <f t="shared" si="47"/>
        <v>2710.636</v>
      </c>
      <c r="BP120" s="108">
        <f>AVERAGE(BP30:BR30)</f>
        <v>37600.561999999998</v>
      </c>
      <c r="BQ120" s="108"/>
      <c r="BR120" s="108">
        <f t="shared" ref="BR120" si="48">AVERAGE(BR30:BS30)</f>
        <v>39333.233</v>
      </c>
      <c r="BS120" s="108">
        <f>AVERAGE(BS30:BX30)</f>
        <v>39147.385666666669</v>
      </c>
      <c r="BT120" s="108"/>
      <c r="BU120" s="108"/>
      <c r="BV120" s="108">
        <f>AVERAGE(BV30:BW30)</f>
        <v>38188.126499999998</v>
      </c>
      <c r="BW120" s="108"/>
      <c r="BX120" s="108">
        <f>AVERAGE(BX30:BZ30)</f>
        <v>407188</v>
      </c>
      <c r="BY120" s="108"/>
      <c r="BZ120" s="108">
        <f t="shared" ref="BZ120:DV120" si="49">AVERAGE(BZ30:CA30)</f>
        <v>398767.5</v>
      </c>
      <c r="CA120" s="108">
        <f t="shared" si="49"/>
        <v>390347</v>
      </c>
      <c r="CB120" s="108">
        <f>AVERAGE(CB30:CD30)</f>
        <v>825137.76599999995</v>
      </c>
      <c r="CC120" s="108"/>
      <c r="CD120" s="108">
        <f t="shared" si="49"/>
        <v>777655.67999999993</v>
      </c>
      <c r="CE120" s="108">
        <f t="shared" si="49"/>
        <v>730173.59400000004</v>
      </c>
      <c r="CF120" s="108" t="e">
        <f>AVERAGE(CF30:CH30)</f>
        <v>#DIV/0!</v>
      </c>
      <c r="CG120" s="108"/>
      <c r="CH120" s="108" t="e">
        <f t="shared" si="49"/>
        <v>#DIV/0!</v>
      </c>
      <c r="CI120" s="108" t="e">
        <f t="shared" si="49"/>
        <v>#DIV/0!</v>
      </c>
      <c r="CJ120" s="108">
        <f>AVERAGE(CJ30:CL30)</f>
        <v>1513920</v>
      </c>
      <c r="CK120" s="108"/>
      <c r="CL120" s="108">
        <f t="shared" si="49"/>
        <v>1428795</v>
      </c>
      <c r="CM120" s="108">
        <f t="shared" si="49"/>
        <v>1343670</v>
      </c>
      <c r="CN120" s="108">
        <f>AVERAGE(CN30:CP30)</f>
        <v>39357.777999999998</v>
      </c>
      <c r="CO120" s="108"/>
      <c r="CP120" s="108">
        <f t="shared" si="49"/>
        <v>37786.118000000002</v>
      </c>
      <c r="CQ120" s="108">
        <f t="shared" si="49"/>
        <v>36214.457999999999</v>
      </c>
      <c r="CR120" s="108">
        <f>AVERAGE(CR30:CT30)</f>
        <v>220615</v>
      </c>
      <c r="CS120" s="108"/>
      <c r="CT120" s="108">
        <f t="shared" si="49"/>
        <v>217840</v>
      </c>
      <c r="CU120" s="108">
        <f t="shared" si="49"/>
        <v>215065</v>
      </c>
      <c r="CV120" s="108">
        <f>AVERAGE(CV30:CX30)</f>
        <v>137611</v>
      </c>
      <c r="CW120" s="108"/>
      <c r="CX120" s="108">
        <f t="shared" si="49"/>
        <v>129705.5</v>
      </c>
      <c r="CY120" s="108">
        <f t="shared" si="49"/>
        <v>121800</v>
      </c>
      <c r="CZ120" s="108" t="e">
        <f>AVERAGE(CZ30:DB30)</f>
        <v>#DIV/0!</v>
      </c>
      <c r="DA120" s="108"/>
      <c r="DB120" s="108" t="e">
        <f t="shared" si="49"/>
        <v>#DIV/0!</v>
      </c>
      <c r="DC120" s="108" t="e">
        <f t="shared" si="49"/>
        <v>#DIV/0!</v>
      </c>
      <c r="DD120" s="108">
        <f>AVERAGE(DD30:DF30)</f>
        <v>318799.92499999999</v>
      </c>
      <c r="DE120" s="108"/>
      <c r="DF120" s="108">
        <f t="shared" si="49"/>
        <v>276613.44500000001</v>
      </c>
      <c r="DG120" s="108">
        <f t="shared" si="49"/>
        <v>234426.965</v>
      </c>
      <c r="DH120" s="108">
        <f>AVERAGE(DH30:DJ30)</f>
        <v>10917133</v>
      </c>
      <c r="DI120" s="108"/>
      <c r="DJ120" s="108">
        <f t="shared" si="49"/>
        <v>10696396</v>
      </c>
      <c r="DK120" s="108">
        <f t="shared" si="49"/>
        <v>10475659</v>
      </c>
      <c r="DL120" s="108">
        <f t="shared" si="49"/>
        <v>10323638</v>
      </c>
      <c r="DM120" s="108">
        <f t="shared" si="49"/>
        <v>8841473</v>
      </c>
      <c r="DN120" s="108">
        <f t="shared" si="49"/>
        <v>7359308</v>
      </c>
      <c r="DO120" s="108">
        <f>AVERAGE(DO30:DQ30)</f>
        <v>6827.8090000000002</v>
      </c>
      <c r="DP120" s="108"/>
      <c r="DQ120" s="108">
        <f t="shared" si="49"/>
        <v>5104.2105000000001</v>
      </c>
      <c r="DR120" s="108">
        <f t="shared" si="49"/>
        <v>3380.6120000000001</v>
      </c>
      <c r="DS120" s="108">
        <f>AVERAGE(DS30:DU30)</f>
        <v>533922.56000000006</v>
      </c>
      <c r="DT120" s="108"/>
      <c r="DU120" s="108">
        <f t="shared" si="49"/>
        <v>517339.19000000006</v>
      </c>
      <c r="DV120" s="108">
        <f t="shared" si="49"/>
        <v>500755.82</v>
      </c>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row>
    <row r="121" spans="1:232" s="176" customFormat="1" ht="12.75" customHeight="1" x14ac:dyDescent="0.2">
      <c r="A121" s="10"/>
      <c r="B121" s="175" t="s">
        <v>297</v>
      </c>
      <c r="C121" s="10"/>
      <c r="D121" s="10"/>
      <c r="E121" s="108">
        <f t="shared" ref="E121:BO121" si="50">AVERAGE(E28:F28)</f>
        <v>14960.145999999997</v>
      </c>
      <c r="F121" s="108" t="e">
        <f t="shared" si="50"/>
        <v>#DIV/0!</v>
      </c>
      <c r="G121" s="108">
        <f>AVERAGE(G28:I28)</f>
        <v>86.299000000000007</v>
      </c>
      <c r="H121" s="108"/>
      <c r="I121" s="108">
        <f t="shared" si="50"/>
        <v>83.829499999999996</v>
      </c>
      <c r="J121" s="108">
        <f t="shared" si="50"/>
        <v>81.36</v>
      </c>
      <c r="K121" s="108">
        <f>AVERAGE(K28:M28)</f>
        <v>110828</v>
      </c>
      <c r="L121" s="108"/>
      <c r="M121" s="108">
        <f t="shared" si="50"/>
        <v>107427.5</v>
      </c>
      <c r="N121" s="108">
        <f t="shared" si="50"/>
        <v>104027</v>
      </c>
      <c r="O121" s="108">
        <f>AVERAGE(O28:Q28)</f>
        <v>48208</v>
      </c>
      <c r="P121" s="108"/>
      <c r="Q121" s="108">
        <f t="shared" si="50"/>
        <v>43243.833500000001</v>
      </c>
      <c r="R121" s="108">
        <f t="shared" si="50"/>
        <v>36078.127999999997</v>
      </c>
      <c r="S121" s="108">
        <f t="shared" si="50"/>
        <v>33876.589</v>
      </c>
      <c r="T121" s="108">
        <f>AVERAGE(T28:V28)</f>
        <v>216606</v>
      </c>
      <c r="U121" s="108"/>
      <c r="V121" s="108">
        <f t="shared" si="50"/>
        <v>187542</v>
      </c>
      <c r="W121" s="108">
        <f t="shared" si="50"/>
        <v>158478</v>
      </c>
      <c r="X121" s="108">
        <f>AVERAGE(X28:Z28)</f>
        <v>92524.027000000002</v>
      </c>
      <c r="Y121" s="108"/>
      <c r="Z121" s="108">
        <f t="shared" si="50"/>
        <v>79612.988500000007</v>
      </c>
      <c r="AA121" s="108">
        <f t="shared" si="50"/>
        <v>66701.95</v>
      </c>
      <c r="AB121" s="108">
        <f>AVERAGE(AB28:AD28)</f>
        <v>59595.235999999997</v>
      </c>
      <c r="AC121" s="108"/>
      <c r="AD121" s="108">
        <f t="shared" si="50"/>
        <v>51614.1495</v>
      </c>
      <c r="AE121" s="108">
        <f t="shared" si="50"/>
        <v>43633.063000000002</v>
      </c>
      <c r="AF121" s="108">
        <f>AVERAGE(AF28:AH28)</f>
        <v>157848</v>
      </c>
      <c r="AG121" s="108"/>
      <c r="AH121" s="108">
        <f t="shared" si="50"/>
        <v>168906.5</v>
      </c>
      <c r="AI121" s="108">
        <f t="shared" si="50"/>
        <v>179965</v>
      </c>
      <c r="AJ121" s="108">
        <f>AVERAGE(AJ28:AL28)</f>
        <v>5441.8069999999998</v>
      </c>
      <c r="AK121" s="108"/>
      <c r="AL121" s="108">
        <f t="shared" si="50"/>
        <v>2720.9034999999999</v>
      </c>
      <c r="AM121" s="108">
        <f t="shared" si="50"/>
        <v>0</v>
      </c>
      <c r="AN121" s="108">
        <f>AVERAGE(AN28:AP28)</f>
        <v>33475.788999999997</v>
      </c>
      <c r="AO121" s="108"/>
      <c r="AP121" s="108">
        <f t="shared" si="50"/>
        <v>20559.559999999998</v>
      </c>
      <c r="AQ121" s="108">
        <f t="shared" si="50"/>
        <v>7643.3310000000001</v>
      </c>
      <c r="AR121" s="108">
        <f>AVERAGE(AR28:AT28)</f>
        <v>137776.03</v>
      </c>
      <c r="AS121" s="108"/>
      <c r="AT121" s="108">
        <f t="shared" si="50"/>
        <v>105755.94</v>
      </c>
      <c r="AU121" s="108">
        <f t="shared" si="50"/>
        <v>73735.850000000006</v>
      </c>
      <c r="AV121" s="108">
        <f>AVERAGE(AV28:AX28)</f>
        <v>587327</v>
      </c>
      <c r="AW121" s="108"/>
      <c r="AX121" s="108">
        <f t="shared" si="50"/>
        <v>535851.5</v>
      </c>
      <c r="AY121" s="108">
        <f t="shared" si="50"/>
        <v>484376</v>
      </c>
      <c r="AZ121" s="108">
        <f>AVERAGE(AZ28:BB28)</f>
        <v>647.09100000000001</v>
      </c>
      <c r="BA121" s="108"/>
      <c r="BB121" s="108">
        <f t="shared" si="50"/>
        <v>647.09100000000001</v>
      </c>
      <c r="BC121" s="108" t="e">
        <f t="shared" si="50"/>
        <v>#DIV/0!</v>
      </c>
      <c r="BD121" s="108" t="e">
        <f>AVERAGE(BD28:BF28)</f>
        <v>#DIV/0!</v>
      </c>
      <c r="BE121" s="108"/>
      <c r="BF121" s="108" t="e">
        <f t="shared" si="50"/>
        <v>#DIV/0!</v>
      </c>
      <c r="BG121" s="108" t="e">
        <f t="shared" si="50"/>
        <v>#DIV/0!</v>
      </c>
      <c r="BH121" s="108">
        <f>AVERAGE(BH28:BJ28)</f>
        <v>21778.029000000002</v>
      </c>
      <c r="BI121" s="108"/>
      <c r="BJ121" s="108">
        <f t="shared" si="50"/>
        <v>16464.999500000002</v>
      </c>
      <c r="BK121" s="108">
        <f t="shared" si="50"/>
        <v>11151.97</v>
      </c>
      <c r="BL121" s="108">
        <f>AVERAGE(BL28:BN28)</f>
        <v>3582.018</v>
      </c>
      <c r="BM121" s="108"/>
      <c r="BN121" s="108">
        <f t="shared" si="50"/>
        <v>3037.7750000000001</v>
      </c>
      <c r="BO121" s="108">
        <f t="shared" si="50"/>
        <v>2493.5320000000002</v>
      </c>
      <c r="BP121" s="108">
        <f>AVERAGE(BP28:BR28)</f>
        <v>37115.904000000002</v>
      </c>
      <c r="BQ121" s="108"/>
      <c r="BR121" s="108">
        <f t="shared" ref="BR121" si="51">AVERAGE(BR28:BS28)</f>
        <v>38825.792499999996</v>
      </c>
      <c r="BS121" s="108">
        <f>AVERAGE(BS28:BX28)</f>
        <v>34316.317999999999</v>
      </c>
      <c r="BT121" s="108"/>
      <c r="BU121" s="108"/>
      <c r="BV121" s="108">
        <f>AVERAGE(BV28:BW28)</f>
        <v>31206.636500000001</v>
      </c>
      <c r="BW121" s="108"/>
      <c r="BX121" s="108">
        <f>AVERAGE(BX28:BZ28)</f>
        <v>331298</v>
      </c>
      <c r="BY121" s="108"/>
      <c r="BZ121" s="108">
        <f t="shared" ref="BZ121:DV121" si="52">AVERAGE(BZ28:CA28)</f>
        <v>303393.5</v>
      </c>
      <c r="CA121" s="108">
        <f t="shared" si="52"/>
        <v>275489</v>
      </c>
      <c r="CB121" s="108">
        <f>AVERAGE(CB28:CD28)</f>
        <v>641521.18299999996</v>
      </c>
      <c r="CC121" s="108"/>
      <c r="CD121" s="108">
        <f t="shared" si="52"/>
        <v>586437.75699999998</v>
      </c>
      <c r="CE121" s="108">
        <f t="shared" si="52"/>
        <v>531354.33100000001</v>
      </c>
      <c r="CF121" s="108" t="e">
        <f>AVERAGE(CF28:CH28)</f>
        <v>#DIV/0!</v>
      </c>
      <c r="CG121" s="108"/>
      <c r="CH121" s="108" t="e">
        <f t="shared" si="52"/>
        <v>#DIV/0!</v>
      </c>
      <c r="CI121" s="108" t="e">
        <f t="shared" si="52"/>
        <v>#DIV/0!</v>
      </c>
      <c r="CJ121" s="108">
        <f>AVERAGE(CJ28:CL28)</f>
        <v>1463455</v>
      </c>
      <c r="CK121" s="108"/>
      <c r="CL121" s="108">
        <f t="shared" si="52"/>
        <v>1370333.5</v>
      </c>
      <c r="CM121" s="108">
        <f t="shared" si="52"/>
        <v>1277212</v>
      </c>
      <c r="CN121" s="108">
        <f>AVERAGE(CN28:CP28)</f>
        <v>37509.703999999998</v>
      </c>
      <c r="CO121" s="108"/>
      <c r="CP121" s="108">
        <f t="shared" si="52"/>
        <v>35650.904999999999</v>
      </c>
      <c r="CQ121" s="108">
        <f t="shared" si="52"/>
        <v>33792.106</v>
      </c>
      <c r="CR121" s="108">
        <f>AVERAGE(CR28:CT28)</f>
        <v>178303</v>
      </c>
      <c r="CS121" s="108"/>
      <c r="CT121" s="108">
        <f t="shared" si="52"/>
        <v>172758.5</v>
      </c>
      <c r="CU121" s="108">
        <f t="shared" si="52"/>
        <v>167214</v>
      </c>
      <c r="CV121" s="108">
        <f>AVERAGE(CV28:CX28)</f>
        <v>48527</v>
      </c>
      <c r="CW121" s="108"/>
      <c r="CX121" s="108">
        <f t="shared" si="52"/>
        <v>45433</v>
      </c>
      <c r="CY121" s="108">
        <f t="shared" si="52"/>
        <v>42339</v>
      </c>
      <c r="CZ121" s="108" t="e">
        <f>AVERAGE(CZ28:DB28)</f>
        <v>#DIV/0!</v>
      </c>
      <c r="DA121" s="108"/>
      <c r="DB121" s="108" t="e">
        <f t="shared" si="52"/>
        <v>#DIV/0!</v>
      </c>
      <c r="DC121" s="108" t="e">
        <f t="shared" si="52"/>
        <v>#DIV/0!</v>
      </c>
      <c r="DD121" s="108">
        <f>AVERAGE(DD28:DF28)</f>
        <v>251496.97399999999</v>
      </c>
      <c r="DE121" s="108"/>
      <c r="DF121" s="108">
        <f t="shared" si="52"/>
        <v>215467.35399999999</v>
      </c>
      <c r="DG121" s="108">
        <f t="shared" si="52"/>
        <v>179437.734</v>
      </c>
      <c r="DH121" s="108">
        <f>AVERAGE(DH28:DJ28)</f>
        <v>7796706</v>
      </c>
      <c r="DI121" s="108"/>
      <c r="DJ121" s="108">
        <f t="shared" si="52"/>
        <v>7545264</v>
      </c>
      <c r="DK121" s="108">
        <f t="shared" si="52"/>
        <v>7293822</v>
      </c>
      <c r="DL121" s="108">
        <f t="shared" si="52"/>
        <v>6845039</v>
      </c>
      <c r="DM121" s="108">
        <f t="shared" si="52"/>
        <v>6733604.5</v>
      </c>
      <c r="DN121" s="108">
        <f t="shared" si="52"/>
        <v>6622170</v>
      </c>
      <c r="DO121" s="108">
        <f>AVERAGE(DO28:DQ28)</f>
        <v>1965.6610000000001</v>
      </c>
      <c r="DP121" s="108"/>
      <c r="DQ121" s="108">
        <f t="shared" si="52"/>
        <v>1499.5340000000001</v>
      </c>
      <c r="DR121" s="108">
        <f t="shared" si="52"/>
        <v>1033.4070000000002</v>
      </c>
      <c r="DS121" s="108">
        <f>AVERAGE(DS28:DU28)</f>
        <v>297488.016</v>
      </c>
      <c r="DT121" s="108"/>
      <c r="DU121" s="108">
        <f t="shared" si="52"/>
        <v>278939.4485</v>
      </c>
      <c r="DV121" s="108">
        <f t="shared" si="52"/>
        <v>260390.88099999999</v>
      </c>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row>
    <row r="122" spans="1:232" s="176" customFormat="1" ht="12.75" customHeight="1" x14ac:dyDescent="0.2">
      <c r="A122" s="10"/>
      <c r="B122" s="175" t="s">
        <v>298</v>
      </c>
      <c r="C122" s="10"/>
      <c r="D122" s="10"/>
      <c r="E122" s="108">
        <f t="shared" ref="E122:BP122" si="53">E28</f>
        <v>14960.145999999997</v>
      </c>
      <c r="F122" s="108">
        <f t="shared" si="53"/>
        <v>0</v>
      </c>
      <c r="G122" s="108">
        <f t="shared" si="53"/>
        <v>0</v>
      </c>
      <c r="H122" s="108"/>
      <c r="I122" s="108">
        <f t="shared" si="53"/>
        <v>86.299000000000007</v>
      </c>
      <c r="J122" s="108">
        <f t="shared" si="53"/>
        <v>81.36</v>
      </c>
      <c r="K122" s="108">
        <f t="shared" si="53"/>
        <v>0</v>
      </c>
      <c r="L122" s="108"/>
      <c r="M122" s="108">
        <f t="shared" si="53"/>
        <v>110828</v>
      </c>
      <c r="N122" s="108">
        <f t="shared" si="53"/>
        <v>104027</v>
      </c>
      <c r="O122" s="108">
        <f t="shared" si="53"/>
        <v>0</v>
      </c>
      <c r="P122" s="108"/>
      <c r="Q122" s="108">
        <f t="shared" si="53"/>
        <v>48208</v>
      </c>
      <c r="R122" s="108">
        <f t="shared" si="53"/>
        <v>38279.667000000001</v>
      </c>
      <c r="S122" s="108">
        <f t="shared" si="53"/>
        <v>33876.589</v>
      </c>
      <c r="T122" s="108">
        <f t="shared" si="53"/>
        <v>0</v>
      </c>
      <c r="U122" s="108"/>
      <c r="V122" s="108">
        <f t="shared" si="53"/>
        <v>216606</v>
      </c>
      <c r="W122" s="108">
        <f t="shared" si="53"/>
        <v>158478</v>
      </c>
      <c r="X122" s="108">
        <f t="shared" si="53"/>
        <v>0</v>
      </c>
      <c r="Y122" s="108"/>
      <c r="Z122" s="108">
        <f t="shared" si="53"/>
        <v>92524.027000000002</v>
      </c>
      <c r="AA122" s="108">
        <f t="shared" si="53"/>
        <v>66701.95</v>
      </c>
      <c r="AB122" s="108">
        <f t="shared" si="53"/>
        <v>0</v>
      </c>
      <c r="AC122" s="108"/>
      <c r="AD122" s="108">
        <f t="shared" si="53"/>
        <v>59595.235999999997</v>
      </c>
      <c r="AE122" s="108">
        <f t="shared" si="53"/>
        <v>43633.063000000002</v>
      </c>
      <c r="AF122" s="108">
        <f t="shared" si="53"/>
        <v>0</v>
      </c>
      <c r="AG122" s="108"/>
      <c r="AH122" s="108">
        <f t="shared" si="53"/>
        <v>157848</v>
      </c>
      <c r="AI122" s="108">
        <f t="shared" si="53"/>
        <v>179965</v>
      </c>
      <c r="AJ122" s="108">
        <f t="shared" si="53"/>
        <v>0</v>
      </c>
      <c r="AK122" s="108"/>
      <c r="AL122" s="108">
        <f t="shared" si="53"/>
        <v>5441.8069999999998</v>
      </c>
      <c r="AM122" s="108">
        <f t="shared" si="53"/>
        <v>0</v>
      </c>
      <c r="AN122" s="108">
        <f t="shared" si="53"/>
        <v>0</v>
      </c>
      <c r="AO122" s="108"/>
      <c r="AP122" s="108">
        <f t="shared" si="53"/>
        <v>33475.788999999997</v>
      </c>
      <c r="AQ122" s="108">
        <f t="shared" si="53"/>
        <v>7643.3310000000001</v>
      </c>
      <c r="AR122" s="108">
        <f t="shared" si="53"/>
        <v>0</v>
      </c>
      <c r="AS122" s="108"/>
      <c r="AT122" s="108">
        <f t="shared" si="53"/>
        <v>137776.03</v>
      </c>
      <c r="AU122" s="108">
        <f t="shared" si="53"/>
        <v>73735.850000000006</v>
      </c>
      <c r="AV122" s="108">
        <f t="shared" si="53"/>
        <v>0</v>
      </c>
      <c r="AW122" s="108"/>
      <c r="AX122" s="108">
        <f t="shared" si="53"/>
        <v>587327</v>
      </c>
      <c r="AY122" s="108">
        <f t="shared" si="53"/>
        <v>484376</v>
      </c>
      <c r="AZ122" s="108">
        <f t="shared" si="53"/>
        <v>0</v>
      </c>
      <c r="BA122" s="108"/>
      <c r="BB122" s="108">
        <f t="shared" si="53"/>
        <v>647.09100000000001</v>
      </c>
      <c r="BC122" s="108">
        <f t="shared" si="53"/>
        <v>0</v>
      </c>
      <c r="BD122" s="108">
        <f t="shared" si="53"/>
        <v>0</v>
      </c>
      <c r="BE122" s="108"/>
      <c r="BF122" s="108">
        <f t="shared" si="53"/>
        <v>0</v>
      </c>
      <c r="BG122" s="108">
        <f t="shared" si="53"/>
        <v>0</v>
      </c>
      <c r="BH122" s="108">
        <f t="shared" si="53"/>
        <v>0</v>
      </c>
      <c r="BI122" s="108"/>
      <c r="BJ122" s="108">
        <f t="shared" si="53"/>
        <v>21778.029000000002</v>
      </c>
      <c r="BK122" s="108">
        <f t="shared" si="53"/>
        <v>11151.97</v>
      </c>
      <c r="BL122" s="108">
        <f t="shared" si="53"/>
        <v>0</v>
      </c>
      <c r="BM122" s="108"/>
      <c r="BN122" s="108">
        <f t="shared" si="53"/>
        <v>3582.018</v>
      </c>
      <c r="BO122" s="108">
        <f t="shared" si="53"/>
        <v>2493.5320000000002</v>
      </c>
      <c r="BP122" s="108">
        <f t="shared" si="53"/>
        <v>0</v>
      </c>
      <c r="BQ122" s="108"/>
      <c r="BR122" s="108">
        <f t="shared" ref="BR122:BS122" si="54">BR28</f>
        <v>37115.904000000002</v>
      </c>
      <c r="BS122" s="108">
        <f t="shared" si="54"/>
        <v>40535.680999999997</v>
      </c>
      <c r="BT122" s="108"/>
      <c r="BU122" s="108"/>
      <c r="BV122" s="108">
        <f>BV28</f>
        <v>32626.61</v>
      </c>
      <c r="BW122" s="108"/>
      <c r="BX122" s="108">
        <f t="shared" ref="BX122:DM122" si="55">BX28</f>
        <v>0</v>
      </c>
      <c r="BY122" s="108"/>
      <c r="BZ122" s="108">
        <f t="shared" si="55"/>
        <v>331298</v>
      </c>
      <c r="CA122" s="108">
        <f t="shared" si="55"/>
        <v>275489</v>
      </c>
      <c r="CB122" s="108">
        <f t="shared" si="55"/>
        <v>0</v>
      </c>
      <c r="CC122" s="108"/>
      <c r="CD122" s="108">
        <f t="shared" si="55"/>
        <v>641521.18299999996</v>
      </c>
      <c r="CE122" s="108">
        <f t="shared" si="55"/>
        <v>531354.33100000001</v>
      </c>
      <c r="CF122" s="108">
        <f t="shared" si="55"/>
        <v>0</v>
      </c>
      <c r="CG122" s="108"/>
      <c r="CH122" s="108">
        <f t="shared" si="55"/>
        <v>0</v>
      </c>
      <c r="CI122" s="108">
        <f t="shared" si="55"/>
        <v>0</v>
      </c>
      <c r="CJ122" s="108">
        <f t="shared" si="55"/>
        <v>0</v>
      </c>
      <c r="CK122" s="108"/>
      <c r="CL122" s="108">
        <f t="shared" si="55"/>
        <v>1463455</v>
      </c>
      <c r="CM122" s="108">
        <f t="shared" si="55"/>
        <v>1277212</v>
      </c>
      <c r="CN122" s="108">
        <f t="shared" si="55"/>
        <v>0</v>
      </c>
      <c r="CO122" s="108"/>
      <c r="CP122" s="108">
        <f t="shared" si="55"/>
        <v>37509.703999999998</v>
      </c>
      <c r="CQ122" s="108">
        <f t="shared" si="55"/>
        <v>33792.106</v>
      </c>
      <c r="CR122" s="108">
        <f t="shared" si="55"/>
        <v>0</v>
      </c>
      <c r="CS122" s="108"/>
      <c r="CT122" s="108">
        <f t="shared" si="55"/>
        <v>178303</v>
      </c>
      <c r="CU122" s="108">
        <f t="shared" si="55"/>
        <v>167214</v>
      </c>
      <c r="CV122" s="108">
        <f t="shared" si="55"/>
        <v>0</v>
      </c>
      <c r="CW122" s="108"/>
      <c r="CX122" s="108">
        <f t="shared" si="55"/>
        <v>48527</v>
      </c>
      <c r="CY122" s="108">
        <f t="shared" si="55"/>
        <v>42339</v>
      </c>
      <c r="CZ122" s="108">
        <f t="shared" si="55"/>
        <v>0</v>
      </c>
      <c r="DA122" s="108"/>
      <c r="DB122" s="108">
        <f t="shared" si="55"/>
        <v>0</v>
      </c>
      <c r="DC122" s="108">
        <f t="shared" si="55"/>
        <v>0</v>
      </c>
      <c r="DD122" s="108">
        <f t="shared" si="55"/>
        <v>0</v>
      </c>
      <c r="DE122" s="108"/>
      <c r="DF122" s="108">
        <f t="shared" si="55"/>
        <v>251496.97399999999</v>
      </c>
      <c r="DG122" s="108">
        <f t="shared" si="55"/>
        <v>179437.734</v>
      </c>
      <c r="DH122" s="108">
        <f t="shared" si="55"/>
        <v>0</v>
      </c>
      <c r="DI122" s="108"/>
      <c r="DJ122" s="108">
        <f t="shared" si="55"/>
        <v>7796706</v>
      </c>
      <c r="DK122" s="108">
        <f t="shared" si="55"/>
        <v>7293822</v>
      </c>
      <c r="DL122" s="108">
        <f t="shared" si="55"/>
        <v>0</v>
      </c>
      <c r="DM122" s="108">
        <f t="shared" si="55"/>
        <v>6845039</v>
      </c>
      <c r="DN122" s="108">
        <f>DN28</f>
        <v>6622170</v>
      </c>
      <c r="DO122" s="108">
        <f>DO28</f>
        <v>0</v>
      </c>
      <c r="DP122" s="108"/>
      <c r="DQ122" s="108">
        <f>DQ28</f>
        <v>1965.6610000000001</v>
      </c>
      <c r="DR122" s="108">
        <f>DR28</f>
        <v>1033.4070000000002</v>
      </c>
      <c r="DS122" s="108">
        <f>DS28</f>
        <v>0</v>
      </c>
      <c r="DT122" s="108"/>
      <c r="DU122" s="108">
        <f>DU28</f>
        <v>297488.016</v>
      </c>
      <c r="DV122" s="108">
        <f>DV28</f>
        <v>260390.88099999999</v>
      </c>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108">
        <f t="shared" ref="FV122:HX122" si="56">FV28</f>
        <v>0</v>
      </c>
      <c r="FW122" s="108">
        <f t="shared" si="56"/>
        <v>0</v>
      </c>
      <c r="FX122" s="108">
        <f t="shared" si="56"/>
        <v>0</v>
      </c>
      <c r="FY122" s="108">
        <f t="shared" si="56"/>
        <v>0</v>
      </c>
      <c r="FZ122" s="108">
        <f t="shared" si="56"/>
        <v>0</v>
      </c>
      <c r="GA122" s="108">
        <f t="shared" si="56"/>
        <v>0</v>
      </c>
      <c r="GB122" s="108">
        <f t="shared" si="56"/>
        <v>0</v>
      </c>
      <c r="GC122" s="108">
        <f t="shared" si="56"/>
        <v>0</v>
      </c>
      <c r="GD122" s="108">
        <f t="shared" si="56"/>
        <v>0</v>
      </c>
      <c r="GE122" s="108">
        <f t="shared" si="56"/>
        <v>0</v>
      </c>
      <c r="GF122" s="108">
        <f t="shared" si="56"/>
        <v>0</v>
      </c>
      <c r="GG122" s="108">
        <f t="shared" si="56"/>
        <v>0</v>
      </c>
      <c r="GH122" s="108">
        <f t="shared" si="56"/>
        <v>0</v>
      </c>
      <c r="GI122" s="108">
        <f t="shared" si="56"/>
        <v>0</v>
      </c>
      <c r="GJ122" s="108">
        <f t="shared" si="56"/>
        <v>0</v>
      </c>
      <c r="GK122" s="108">
        <f t="shared" si="56"/>
        <v>0</v>
      </c>
      <c r="GL122" s="108">
        <f t="shared" si="56"/>
        <v>0</v>
      </c>
      <c r="GM122" s="108">
        <f t="shared" si="56"/>
        <v>0</v>
      </c>
      <c r="GN122" s="108">
        <f t="shared" si="56"/>
        <v>0</v>
      </c>
      <c r="GO122" s="108">
        <f t="shared" si="56"/>
        <v>0</v>
      </c>
      <c r="GP122" s="108">
        <f t="shared" si="56"/>
        <v>0</v>
      </c>
      <c r="GQ122" s="108">
        <f t="shared" si="56"/>
        <v>0</v>
      </c>
      <c r="GR122" s="108">
        <f t="shared" si="56"/>
        <v>0</v>
      </c>
      <c r="GS122" s="108">
        <f t="shared" si="56"/>
        <v>0</v>
      </c>
      <c r="GT122" s="108">
        <f t="shared" si="56"/>
        <v>0</v>
      </c>
      <c r="GU122" s="108">
        <f t="shared" si="56"/>
        <v>0</v>
      </c>
      <c r="GV122" s="108">
        <f t="shared" si="56"/>
        <v>0</v>
      </c>
      <c r="GW122" s="108">
        <f t="shared" si="56"/>
        <v>0</v>
      </c>
      <c r="GX122" s="108">
        <f t="shared" si="56"/>
        <v>0</v>
      </c>
      <c r="GY122" s="108">
        <f t="shared" si="56"/>
        <v>0</v>
      </c>
      <c r="GZ122" s="108">
        <f t="shared" si="56"/>
        <v>0</v>
      </c>
      <c r="HA122" s="108">
        <f t="shared" si="56"/>
        <v>0</v>
      </c>
      <c r="HB122" s="108">
        <f t="shared" si="56"/>
        <v>0</v>
      </c>
      <c r="HC122" s="108">
        <f t="shared" si="56"/>
        <v>0</v>
      </c>
      <c r="HD122" s="108">
        <f t="shared" si="56"/>
        <v>0</v>
      </c>
      <c r="HE122" s="108">
        <f t="shared" si="56"/>
        <v>0</v>
      </c>
      <c r="HF122" s="108">
        <f t="shared" si="56"/>
        <v>0</v>
      </c>
      <c r="HG122" s="108">
        <f t="shared" si="56"/>
        <v>0</v>
      </c>
      <c r="HH122" s="108">
        <f t="shared" si="56"/>
        <v>0</v>
      </c>
      <c r="HI122" s="108">
        <f t="shared" si="56"/>
        <v>0</v>
      </c>
      <c r="HJ122" s="108">
        <f t="shared" si="56"/>
        <v>0</v>
      </c>
      <c r="HK122" s="108">
        <f t="shared" si="56"/>
        <v>0</v>
      </c>
      <c r="HL122" s="108">
        <f t="shared" si="56"/>
        <v>0</v>
      </c>
      <c r="HM122" s="108">
        <f t="shared" si="56"/>
        <v>0</v>
      </c>
      <c r="HN122" s="108">
        <f t="shared" si="56"/>
        <v>0</v>
      </c>
      <c r="HO122" s="108">
        <f t="shared" si="56"/>
        <v>0</v>
      </c>
      <c r="HP122" s="108">
        <f t="shared" si="56"/>
        <v>0</v>
      </c>
      <c r="HQ122" s="108">
        <f t="shared" si="56"/>
        <v>0</v>
      </c>
      <c r="HR122" s="108">
        <f t="shared" si="56"/>
        <v>0</v>
      </c>
      <c r="HS122" s="108">
        <f t="shared" si="56"/>
        <v>0</v>
      </c>
      <c r="HT122" s="108">
        <f t="shared" si="56"/>
        <v>0</v>
      </c>
      <c r="HU122" s="108">
        <f t="shared" si="56"/>
        <v>0</v>
      </c>
      <c r="HV122" s="108">
        <f t="shared" si="56"/>
        <v>0</v>
      </c>
      <c r="HW122" s="108">
        <f t="shared" si="56"/>
        <v>0</v>
      </c>
      <c r="HX122" s="108">
        <f t="shared" si="56"/>
        <v>0</v>
      </c>
    </row>
    <row r="123" spans="1:232" s="176" customFormat="1" ht="12.75" customHeight="1" x14ac:dyDescent="0.2">
      <c r="A123" s="10"/>
      <c r="B123" s="175" t="s">
        <v>299</v>
      </c>
      <c r="C123" s="10"/>
      <c r="D123" s="10"/>
      <c r="E123" s="108">
        <f t="shared" ref="E123:BO123" si="57">AVERAGE(E36:F36)</f>
        <v>1818.722</v>
      </c>
      <c r="F123" s="108" t="e">
        <f t="shared" si="57"/>
        <v>#DIV/0!</v>
      </c>
      <c r="G123" s="108">
        <f>AVERAGE(G36:I36)</f>
        <v>10.218</v>
      </c>
      <c r="H123" s="108"/>
      <c r="I123" s="108">
        <f t="shared" si="57"/>
        <v>6.8774999999999995</v>
      </c>
      <c r="J123" s="108">
        <f t="shared" si="57"/>
        <v>3.5369999999999999</v>
      </c>
      <c r="K123" s="108">
        <f>AVERAGE(K36:M36)</f>
        <v>49785</v>
      </c>
      <c r="L123" s="108"/>
      <c r="M123" s="108">
        <f t="shared" si="57"/>
        <v>35066.5</v>
      </c>
      <c r="N123" s="108">
        <f t="shared" si="57"/>
        <v>20348</v>
      </c>
      <c r="O123" s="108">
        <f>AVERAGE(O36:Q36)</f>
        <v>3415</v>
      </c>
      <c r="P123" s="108"/>
      <c r="Q123" s="108">
        <f t="shared" si="57"/>
        <v>2969.9825000000001</v>
      </c>
      <c r="R123" s="108">
        <f t="shared" si="57"/>
        <v>2606.4625000000001</v>
      </c>
      <c r="S123" s="108">
        <f t="shared" si="57"/>
        <v>2687.96</v>
      </c>
      <c r="T123" s="108">
        <f>AVERAGE(T36:V36)</f>
        <v>22704</v>
      </c>
      <c r="U123" s="108"/>
      <c r="V123" s="108">
        <f t="shared" si="57"/>
        <v>18088.5</v>
      </c>
      <c r="W123" s="108">
        <f t="shared" si="57"/>
        <v>13473</v>
      </c>
      <c r="X123" s="108">
        <f>AVERAGE(X36:Z36)</f>
        <v>10905.311</v>
      </c>
      <c r="Y123" s="108"/>
      <c r="Z123" s="108">
        <f t="shared" si="57"/>
        <v>10088.710500000001</v>
      </c>
      <c r="AA123" s="108">
        <f t="shared" si="57"/>
        <v>9272.11</v>
      </c>
      <c r="AB123" s="108">
        <f>AVERAGE(AB36:AD36)</f>
        <v>10341.755999999999</v>
      </c>
      <c r="AC123" s="108"/>
      <c r="AD123" s="108">
        <f t="shared" si="57"/>
        <v>7597.5954999999994</v>
      </c>
      <c r="AE123" s="108">
        <f t="shared" si="57"/>
        <v>4853.4350000000004</v>
      </c>
      <c r="AF123" s="108">
        <f>AVERAGE(AF36:AH36)</f>
        <v>32617</v>
      </c>
      <c r="AG123" s="108"/>
      <c r="AH123" s="108">
        <f t="shared" si="57"/>
        <v>29699.5</v>
      </c>
      <c r="AI123" s="108">
        <f t="shared" si="57"/>
        <v>26782</v>
      </c>
      <c r="AJ123" s="108">
        <f>AVERAGE(AJ36:AL36)</f>
        <v>101</v>
      </c>
      <c r="AK123" s="108"/>
      <c r="AL123" s="108">
        <f t="shared" si="57"/>
        <v>50.5</v>
      </c>
      <c r="AM123" s="108">
        <f t="shared" si="57"/>
        <v>0</v>
      </c>
      <c r="AN123" s="108">
        <f>AVERAGE(AN36:AP36)</f>
        <v>2664.002</v>
      </c>
      <c r="AO123" s="108"/>
      <c r="AP123" s="108">
        <f t="shared" si="57"/>
        <v>1621.6994999999999</v>
      </c>
      <c r="AQ123" s="108">
        <f t="shared" si="57"/>
        <v>579.39700000000005</v>
      </c>
      <c r="AR123" s="108">
        <f>AVERAGE(AR36:AT36)</f>
        <v>16443.476999999999</v>
      </c>
      <c r="AS123" s="108"/>
      <c r="AT123" s="108">
        <f t="shared" si="57"/>
        <v>12583.433999999999</v>
      </c>
      <c r="AU123" s="108">
        <f t="shared" si="57"/>
        <v>8723.3909999999996</v>
      </c>
      <c r="AV123" s="108">
        <f>AVERAGE(AV36:AX36)</f>
        <v>70340</v>
      </c>
      <c r="AW123" s="108"/>
      <c r="AX123" s="108">
        <f t="shared" si="57"/>
        <v>66460.5</v>
      </c>
      <c r="AY123" s="108">
        <f t="shared" si="57"/>
        <v>62581</v>
      </c>
      <c r="AZ123" s="108">
        <f>AVERAGE(AZ36:BB36)</f>
        <v>489.1</v>
      </c>
      <c r="BA123" s="108"/>
      <c r="BB123" s="108">
        <f t="shared" si="57"/>
        <v>489.1</v>
      </c>
      <c r="BC123" s="108" t="e">
        <f t="shared" si="57"/>
        <v>#DIV/0!</v>
      </c>
      <c r="BD123" s="108" t="e">
        <f>AVERAGE(BD36:BF36)</f>
        <v>#DIV/0!</v>
      </c>
      <c r="BE123" s="108"/>
      <c r="BF123" s="108" t="e">
        <f t="shared" si="57"/>
        <v>#DIV/0!</v>
      </c>
      <c r="BG123" s="108" t="e">
        <f t="shared" si="57"/>
        <v>#DIV/0!</v>
      </c>
      <c r="BH123" s="108">
        <f>AVERAGE(BH36:BJ36)</f>
        <v>18.045000000000002</v>
      </c>
      <c r="BI123" s="108"/>
      <c r="BJ123" s="108">
        <f t="shared" si="57"/>
        <v>11.040000000000001</v>
      </c>
      <c r="BK123" s="108">
        <f t="shared" si="57"/>
        <v>4.0350000000000001</v>
      </c>
      <c r="BL123" s="108">
        <f>AVERAGE(BL36:BN36)</f>
        <v>1103.951</v>
      </c>
      <c r="BM123" s="108"/>
      <c r="BN123" s="108">
        <f t="shared" si="57"/>
        <v>630.90800000000002</v>
      </c>
      <c r="BO123" s="108">
        <f t="shared" si="57"/>
        <v>157.86500000000001</v>
      </c>
      <c r="BP123" s="108">
        <f>AVERAGE(BP36:BR36)</f>
        <v>5778.7730000000001</v>
      </c>
      <c r="BQ123" s="108"/>
      <c r="BR123" s="108">
        <f t="shared" ref="BR123" si="58">AVERAGE(BR36:BS36)</f>
        <v>5198.2065000000002</v>
      </c>
      <c r="BS123" s="108">
        <f>AVERAGE(BS36:BX36)</f>
        <v>4986.5453333333335</v>
      </c>
      <c r="BT123" s="108"/>
      <c r="BU123" s="108"/>
      <c r="BV123" s="108">
        <f>AVERAGE(BV36:BW36)</f>
        <v>5170.9979999999996</v>
      </c>
      <c r="BW123" s="108"/>
      <c r="BX123" s="108">
        <f>AVERAGE(BX36:BZ36)</f>
        <v>39515</v>
      </c>
      <c r="BY123" s="108"/>
      <c r="BZ123" s="108">
        <f t="shared" ref="BZ123:DV123" si="59">AVERAGE(BZ36:CA36)</f>
        <v>37907</v>
      </c>
      <c r="CA123" s="108">
        <f t="shared" si="59"/>
        <v>36299</v>
      </c>
      <c r="CB123" s="108">
        <f>AVERAGE(CB36:CD36)</f>
        <v>64005.317999999999</v>
      </c>
      <c r="CC123" s="108"/>
      <c r="CD123" s="108">
        <f t="shared" si="59"/>
        <v>58840.978000000003</v>
      </c>
      <c r="CE123" s="108">
        <f t="shared" si="59"/>
        <v>53676.637999999999</v>
      </c>
      <c r="CF123" s="108" t="e">
        <f>AVERAGE(CF36:CH36)</f>
        <v>#DIV/0!</v>
      </c>
      <c r="CG123" s="108"/>
      <c r="CH123" s="108" t="e">
        <f t="shared" si="59"/>
        <v>#DIV/0!</v>
      </c>
      <c r="CI123" s="108" t="e">
        <f t="shared" si="59"/>
        <v>#DIV/0!</v>
      </c>
      <c r="CJ123" s="108">
        <f>AVERAGE(CJ36:CL36)</f>
        <v>97531</v>
      </c>
      <c r="CK123" s="108"/>
      <c r="CL123" s="108">
        <f t="shared" si="59"/>
        <v>91203.5</v>
      </c>
      <c r="CM123" s="108">
        <f t="shared" si="59"/>
        <v>84876</v>
      </c>
      <c r="CN123" s="108">
        <f>AVERAGE(CN36:CP36)</f>
        <v>3628.6030000000001</v>
      </c>
      <c r="CO123" s="108"/>
      <c r="CP123" s="108">
        <f t="shared" si="59"/>
        <v>3446.0554999999999</v>
      </c>
      <c r="CQ123" s="108">
        <f t="shared" si="59"/>
        <v>3263.5079999999998</v>
      </c>
      <c r="CR123" s="108">
        <f>AVERAGE(CR36:CT36)</f>
        <v>9235</v>
      </c>
      <c r="CS123" s="108"/>
      <c r="CT123" s="108">
        <f t="shared" si="59"/>
        <v>10148</v>
      </c>
      <c r="CU123" s="108">
        <f t="shared" si="59"/>
        <v>11061</v>
      </c>
      <c r="CV123" s="108">
        <f>AVERAGE(CV36:CX36)</f>
        <v>56385</v>
      </c>
      <c r="CW123" s="108"/>
      <c r="CX123" s="108">
        <f t="shared" si="59"/>
        <v>46457.5</v>
      </c>
      <c r="CY123" s="108">
        <f t="shared" si="59"/>
        <v>36530</v>
      </c>
      <c r="CZ123" s="108" t="e">
        <f>AVERAGE(CZ36:DB36)</f>
        <v>#DIV/0!</v>
      </c>
      <c r="DA123" s="108"/>
      <c r="DB123" s="108" t="e">
        <f t="shared" si="59"/>
        <v>#DIV/0!</v>
      </c>
      <c r="DC123" s="108" t="e">
        <f t="shared" si="59"/>
        <v>#DIV/0!</v>
      </c>
      <c r="DD123" s="108">
        <f>AVERAGE(DD36:DF36)</f>
        <v>46339.167000000001</v>
      </c>
      <c r="DE123" s="108"/>
      <c r="DF123" s="108">
        <f t="shared" si="59"/>
        <v>41243.8485</v>
      </c>
      <c r="DG123" s="108">
        <f t="shared" si="59"/>
        <v>36148.53</v>
      </c>
      <c r="DH123" s="108">
        <f>AVERAGE(DH36:DJ36)</f>
        <v>682725</v>
      </c>
      <c r="DI123" s="108"/>
      <c r="DJ123" s="108">
        <f t="shared" si="59"/>
        <v>686260.5</v>
      </c>
      <c r="DK123" s="108">
        <f t="shared" si="59"/>
        <v>689796</v>
      </c>
      <c r="DL123" s="108">
        <f t="shared" si="59"/>
        <v>731190</v>
      </c>
      <c r="DM123" s="108">
        <f t="shared" si="59"/>
        <v>697199</v>
      </c>
      <c r="DN123" s="108">
        <f t="shared" si="59"/>
        <v>663208</v>
      </c>
      <c r="DO123" s="108">
        <f>AVERAGE(DO36:DQ36)</f>
        <v>608.87800000000004</v>
      </c>
      <c r="DP123" s="108"/>
      <c r="DQ123" s="108">
        <f t="shared" si="59"/>
        <v>542.70000000000005</v>
      </c>
      <c r="DR123" s="108">
        <f t="shared" si="59"/>
        <v>476.52199999999999</v>
      </c>
      <c r="DS123" s="108">
        <f>AVERAGE(DS36:DU36)</f>
        <v>82233.631999999998</v>
      </c>
      <c r="DT123" s="108"/>
      <c r="DU123" s="108">
        <f t="shared" si="59"/>
        <v>79503.887499999997</v>
      </c>
      <c r="DV123" s="108">
        <f t="shared" si="59"/>
        <v>76774.142999999996</v>
      </c>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108" t="e">
        <f t="shared" ref="FV123:HX123" si="60">AVERAGE(FV36:FW36)</f>
        <v>#DIV/0!</v>
      </c>
      <c r="FW123" s="108" t="e">
        <f t="shared" si="60"/>
        <v>#DIV/0!</v>
      </c>
      <c r="FX123" s="108" t="e">
        <f t="shared" si="60"/>
        <v>#DIV/0!</v>
      </c>
      <c r="FY123" s="108" t="e">
        <f t="shared" si="60"/>
        <v>#DIV/0!</v>
      </c>
      <c r="FZ123" s="108" t="e">
        <f t="shared" si="60"/>
        <v>#DIV/0!</v>
      </c>
      <c r="GA123" s="108" t="e">
        <f t="shared" si="60"/>
        <v>#DIV/0!</v>
      </c>
      <c r="GB123" s="108" t="e">
        <f t="shared" si="60"/>
        <v>#DIV/0!</v>
      </c>
      <c r="GC123" s="108" t="e">
        <f t="shared" si="60"/>
        <v>#DIV/0!</v>
      </c>
      <c r="GD123" s="108" t="e">
        <f t="shared" si="60"/>
        <v>#DIV/0!</v>
      </c>
      <c r="GE123" s="108" t="e">
        <f t="shared" si="60"/>
        <v>#DIV/0!</v>
      </c>
      <c r="GF123" s="108" t="e">
        <f t="shared" si="60"/>
        <v>#DIV/0!</v>
      </c>
      <c r="GG123" s="108" t="e">
        <f t="shared" si="60"/>
        <v>#DIV/0!</v>
      </c>
      <c r="GH123" s="108" t="e">
        <f t="shared" si="60"/>
        <v>#DIV/0!</v>
      </c>
      <c r="GI123" s="108" t="e">
        <f t="shared" si="60"/>
        <v>#DIV/0!</v>
      </c>
      <c r="GJ123" s="108" t="e">
        <f t="shared" si="60"/>
        <v>#DIV/0!</v>
      </c>
      <c r="GK123" s="108" t="e">
        <f t="shared" si="60"/>
        <v>#DIV/0!</v>
      </c>
      <c r="GL123" s="108" t="e">
        <f t="shared" si="60"/>
        <v>#DIV/0!</v>
      </c>
      <c r="GM123" s="108" t="e">
        <f t="shared" si="60"/>
        <v>#DIV/0!</v>
      </c>
      <c r="GN123" s="108" t="e">
        <f t="shared" si="60"/>
        <v>#DIV/0!</v>
      </c>
      <c r="GO123" s="108" t="e">
        <f t="shared" si="60"/>
        <v>#DIV/0!</v>
      </c>
      <c r="GP123" s="108" t="e">
        <f t="shared" si="60"/>
        <v>#DIV/0!</v>
      </c>
      <c r="GQ123" s="108" t="e">
        <f t="shared" si="60"/>
        <v>#DIV/0!</v>
      </c>
      <c r="GR123" s="108" t="e">
        <f t="shared" si="60"/>
        <v>#DIV/0!</v>
      </c>
      <c r="GS123" s="108" t="e">
        <f t="shared" si="60"/>
        <v>#DIV/0!</v>
      </c>
      <c r="GT123" s="108" t="e">
        <f t="shared" si="60"/>
        <v>#DIV/0!</v>
      </c>
      <c r="GU123" s="108" t="e">
        <f t="shared" si="60"/>
        <v>#DIV/0!</v>
      </c>
      <c r="GV123" s="108" t="e">
        <f t="shared" si="60"/>
        <v>#DIV/0!</v>
      </c>
      <c r="GW123" s="108" t="e">
        <f t="shared" si="60"/>
        <v>#DIV/0!</v>
      </c>
      <c r="GX123" s="108" t="e">
        <f t="shared" si="60"/>
        <v>#DIV/0!</v>
      </c>
      <c r="GY123" s="108" t="e">
        <f t="shared" si="60"/>
        <v>#DIV/0!</v>
      </c>
      <c r="GZ123" s="108" t="e">
        <f t="shared" si="60"/>
        <v>#DIV/0!</v>
      </c>
      <c r="HA123" s="108" t="e">
        <f t="shared" si="60"/>
        <v>#DIV/0!</v>
      </c>
      <c r="HB123" s="108" t="e">
        <f t="shared" si="60"/>
        <v>#DIV/0!</v>
      </c>
      <c r="HC123" s="108" t="e">
        <f t="shared" si="60"/>
        <v>#DIV/0!</v>
      </c>
      <c r="HD123" s="108" t="e">
        <f t="shared" si="60"/>
        <v>#DIV/0!</v>
      </c>
      <c r="HE123" s="108" t="e">
        <f t="shared" si="60"/>
        <v>#DIV/0!</v>
      </c>
      <c r="HF123" s="108" t="e">
        <f t="shared" si="60"/>
        <v>#DIV/0!</v>
      </c>
      <c r="HG123" s="108" t="e">
        <f t="shared" si="60"/>
        <v>#DIV/0!</v>
      </c>
      <c r="HH123" s="108" t="e">
        <f t="shared" si="60"/>
        <v>#DIV/0!</v>
      </c>
      <c r="HI123" s="108" t="e">
        <f t="shared" si="60"/>
        <v>#DIV/0!</v>
      </c>
      <c r="HJ123" s="108" t="e">
        <f t="shared" si="60"/>
        <v>#DIV/0!</v>
      </c>
      <c r="HK123" s="108" t="e">
        <f t="shared" si="60"/>
        <v>#DIV/0!</v>
      </c>
      <c r="HL123" s="108" t="e">
        <f t="shared" si="60"/>
        <v>#DIV/0!</v>
      </c>
      <c r="HM123" s="108" t="e">
        <f t="shared" si="60"/>
        <v>#DIV/0!</v>
      </c>
      <c r="HN123" s="108" t="e">
        <f t="shared" si="60"/>
        <v>#DIV/0!</v>
      </c>
      <c r="HO123" s="108" t="e">
        <f t="shared" si="60"/>
        <v>#DIV/0!</v>
      </c>
      <c r="HP123" s="108" t="e">
        <f t="shared" si="60"/>
        <v>#DIV/0!</v>
      </c>
      <c r="HQ123" s="108" t="e">
        <f t="shared" si="60"/>
        <v>#DIV/0!</v>
      </c>
      <c r="HR123" s="108" t="e">
        <f t="shared" si="60"/>
        <v>#DIV/0!</v>
      </c>
      <c r="HS123" s="108" t="e">
        <f t="shared" si="60"/>
        <v>#DIV/0!</v>
      </c>
      <c r="HT123" s="108" t="e">
        <f t="shared" si="60"/>
        <v>#DIV/0!</v>
      </c>
      <c r="HU123" s="108" t="e">
        <f t="shared" si="60"/>
        <v>#DIV/0!</v>
      </c>
      <c r="HV123" s="108" t="e">
        <f t="shared" si="60"/>
        <v>#DIV/0!</v>
      </c>
      <c r="HW123" s="108" t="e">
        <f t="shared" si="60"/>
        <v>#DIV/0!</v>
      </c>
      <c r="HX123" s="108" t="e">
        <f t="shared" si="60"/>
        <v>#DIV/0!</v>
      </c>
    </row>
    <row r="124" spans="1:232" s="176" customFormat="1" ht="12.75" customHeight="1" x14ac:dyDescent="0.2">
      <c r="A124" s="10"/>
      <c r="B124" s="175" t="s">
        <v>300</v>
      </c>
      <c r="C124" s="10"/>
      <c r="D124" s="10"/>
      <c r="E124" s="108">
        <f t="shared" ref="E124:BP124" si="61">E36</f>
        <v>1818.722</v>
      </c>
      <c r="F124" s="108">
        <f t="shared" si="61"/>
        <v>0</v>
      </c>
      <c r="G124" s="108">
        <f t="shared" si="61"/>
        <v>0</v>
      </c>
      <c r="H124" s="108"/>
      <c r="I124" s="108">
        <f t="shared" si="61"/>
        <v>10.218</v>
      </c>
      <c r="J124" s="108">
        <f t="shared" si="61"/>
        <v>3.5369999999999999</v>
      </c>
      <c r="K124" s="108">
        <f t="shared" si="61"/>
        <v>0</v>
      </c>
      <c r="L124" s="108"/>
      <c r="M124" s="108">
        <f t="shared" si="61"/>
        <v>49785</v>
      </c>
      <c r="N124" s="108">
        <f t="shared" si="61"/>
        <v>20348</v>
      </c>
      <c r="O124" s="108">
        <f t="shared" si="61"/>
        <v>0</v>
      </c>
      <c r="P124" s="108"/>
      <c r="Q124" s="108">
        <f t="shared" si="61"/>
        <v>3415</v>
      </c>
      <c r="R124" s="108">
        <f t="shared" si="61"/>
        <v>2524.9650000000001</v>
      </c>
      <c r="S124" s="108">
        <f t="shared" si="61"/>
        <v>2687.96</v>
      </c>
      <c r="T124" s="108">
        <f t="shared" si="61"/>
        <v>0</v>
      </c>
      <c r="U124" s="108"/>
      <c r="V124" s="108">
        <f t="shared" si="61"/>
        <v>22704</v>
      </c>
      <c r="W124" s="108">
        <f t="shared" si="61"/>
        <v>13473</v>
      </c>
      <c r="X124" s="108">
        <f t="shared" si="61"/>
        <v>0</v>
      </c>
      <c r="Y124" s="108"/>
      <c r="Z124" s="108">
        <f t="shared" si="61"/>
        <v>10905.311</v>
      </c>
      <c r="AA124" s="108">
        <f t="shared" si="61"/>
        <v>9272.11</v>
      </c>
      <c r="AB124" s="108">
        <f t="shared" si="61"/>
        <v>0</v>
      </c>
      <c r="AC124" s="108"/>
      <c r="AD124" s="108">
        <f t="shared" si="61"/>
        <v>10341.755999999999</v>
      </c>
      <c r="AE124" s="108">
        <f t="shared" si="61"/>
        <v>4853.4350000000004</v>
      </c>
      <c r="AF124" s="108">
        <f t="shared" si="61"/>
        <v>0</v>
      </c>
      <c r="AG124" s="108"/>
      <c r="AH124" s="108">
        <f t="shared" si="61"/>
        <v>32617</v>
      </c>
      <c r="AI124" s="108">
        <f t="shared" si="61"/>
        <v>26782</v>
      </c>
      <c r="AJ124" s="108">
        <f t="shared" si="61"/>
        <v>0</v>
      </c>
      <c r="AK124" s="108"/>
      <c r="AL124" s="108">
        <f t="shared" si="61"/>
        <v>101</v>
      </c>
      <c r="AM124" s="108">
        <f t="shared" si="61"/>
        <v>0</v>
      </c>
      <c r="AN124" s="108">
        <f t="shared" si="61"/>
        <v>0</v>
      </c>
      <c r="AO124" s="108"/>
      <c r="AP124" s="108">
        <f t="shared" si="61"/>
        <v>2664.002</v>
      </c>
      <c r="AQ124" s="108">
        <f t="shared" si="61"/>
        <v>579.39700000000005</v>
      </c>
      <c r="AR124" s="108">
        <f t="shared" si="61"/>
        <v>0</v>
      </c>
      <c r="AS124" s="108"/>
      <c r="AT124" s="108">
        <f t="shared" si="61"/>
        <v>16443.476999999999</v>
      </c>
      <c r="AU124" s="108">
        <f t="shared" si="61"/>
        <v>8723.3909999999996</v>
      </c>
      <c r="AV124" s="108">
        <f t="shared" si="61"/>
        <v>0</v>
      </c>
      <c r="AW124" s="108"/>
      <c r="AX124" s="108">
        <f t="shared" si="61"/>
        <v>70340</v>
      </c>
      <c r="AY124" s="108">
        <f t="shared" si="61"/>
        <v>62581</v>
      </c>
      <c r="AZ124" s="108">
        <f t="shared" si="61"/>
        <v>0</v>
      </c>
      <c r="BA124" s="108"/>
      <c r="BB124" s="108">
        <f t="shared" si="61"/>
        <v>489.1</v>
      </c>
      <c r="BC124" s="108">
        <f t="shared" si="61"/>
        <v>0</v>
      </c>
      <c r="BD124" s="108">
        <f t="shared" si="61"/>
        <v>0</v>
      </c>
      <c r="BE124" s="108"/>
      <c r="BF124" s="108">
        <f t="shared" si="61"/>
        <v>0</v>
      </c>
      <c r="BG124" s="108">
        <f t="shared" si="61"/>
        <v>0</v>
      </c>
      <c r="BH124" s="108">
        <f t="shared" si="61"/>
        <v>0</v>
      </c>
      <c r="BI124" s="108"/>
      <c r="BJ124" s="108">
        <f t="shared" si="61"/>
        <v>18.045000000000002</v>
      </c>
      <c r="BK124" s="108">
        <f t="shared" si="61"/>
        <v>4.0350000000000001</v>
      </c>
      <c r="BL124" s="108">
        <f t="shared" si="61"/>
        <v>0</v>
      </c>
      <c r="BM124" s="108"/>
      <c r="BN124" s="108">
        <f t="shared" si="61"/>
        <v>1103.951</v>
      </c>
      <c r="BO124" s="108">
        <f t="shared" si="61"/>
        <v>157.86500000000001</v>
      </c>
      <c r="BP124" s="108">
        <f t="shared" si="61"/>
        <v>0</v>
      </c>
      <c r="BQ124" s="108"/>
      <c r="BR124" s="108">
        <f t="shared" ref="BR124:BS124" si="62">BR36</f>
        <v>5778.7730000000001</v>
      </c>
      <c r="BS124" s="108">
        <f t="shared" si="62"/>
        <v>4617.6400000000003</v>
      </c>
      <c r="BT124" s="108"/>
      <c r="BU124" s="108"/>
      <c r="BV124" s="108">
        <f>BV36</f>
        <v>5268.7719999999999</v>
      </c>
      <c r="BW124" s="108"/>
      <c r="BX124" s="108">
        <f t="shared" ref="BX124:DM124" si="63">BX36</f>
        <v>0</v>
      </c>
      <c r="BY124" s="108"/>
      <c r="BZ124" s="108">
        <f t="shared" si="63"/>
        <v>39515</v>
      </c>
      <c r="CA124" s="108">
        <f t="shared" si="63"/>
        <v>36299</v>
      </c>
      <c r="CB124" s="108">
        <f t="shared" si="63"/>
        <v>0</v>
      </c>
      <c r="CC124" s="108"/>
      <c r="CD124" s="108">
        <f t="shared" si="63"/>
        <v>64005.317999999999</v>
      </c>
      <c r="CE124" s="108">
        <f t="shared" si="63"/>
        <v>53676.637999999999</v>
      </c>
      <c r="CF124" s="108">
        <f t="shared" si="63"/>
        <v>0</v>
      </c>
      <c r="CG124" s="108"/>
      <c r="CH124" s="108">
        <f t="shared" si="63"/>
        <v>0</v>
      </c>
      <c r="CI124" s="108">
        <f t="shared" si="63"/>
        <v>0</v>
      </c>
      <c r="CJ124" s="108">
        <f t="shared" si="63"/>
        <v>0</v>
      </c>
      <c r="CK124" s="108"/>
      <c r="CL124" s="108">
        <f t="shared" si="63"/>
        <v>97531</v>
      </c>
      <c r="CM124" s="108">
        <f t="shared" si="63"/>
        <v>84876</v>
      </c>
      <c r="CN124" s="108">
        <f t="shared" si="63"/>
        <v>0</v>
      </c>
      <c r="CO124" s="108"/>
      <c r="CP124" s="108">
        <f t="shared" si="63"/>
        <v>3628.6030000000001</v>
      </c>
      <c r="CQ124" s="108">
        <f t="shared" si="63"/>
        <v>3263.5079999999998</v>
      </c>
      <c r="CR124" s="108">
        <f t="shared" si="63"/>
        <v>0</v>
      </c>
      <c r="CS124" s="108"/>
      <c r="CT124" s="108">
        <f t="shared" si="63"/>
        <v>9235</v>
      </c>
      <c r="CU124" s="108">
        <f t="shared" si="63"/>
        <v>11061</v>
      </c>
      <c r="CV124" s="108">
        <f t="shared" si="63"/>
        <v>0</v>
      </c>
      <c r="CW124" s="108"/>
      <c r="CX124" s="108">
        <f t="shared" si="63"/>
        <v>56385</v>
      </c>
      <c r="CY124" s="108">
        <f t="shared" si="63"/>
        <v>36530</v>
      </c>
      <c r="CZ124" s="108">
        <f t="shared" si="63"/>
        <v>0</v>
      </c>
      <c r="DA124" s="108"/>
      <c r="DB124" s="108">
        <f t="shared" si="63"/>
        <v>0</v>
      </c>
      <c r="DC124" s="108">
        <f t="shared" si="63"/>
        <v>0</v>
      </c>
      <c r="DD124" s="108">
        <f t="shared" si="63"/>
        <v>0</v>
      </c>
      <c r="DE124" s="108"/>
      <c r="DF124" s="108">
        <f t="shared" si="63"/>
        <v>46339.167000000001</v>
      </c>
      <c r="DG124" s="108">
        <f t="shared" si="63"/>
        <v>36148.53</v>
      </c>
      <c r="DH124" s="108">
        <f t="shared" si="63"/>
        <v>0</v>
      </c>
      <c r="DI124" s="108"/>
      <c r="DJ124" s="108">
        <f t="shared" si="63"/>
        <v>682725</v>
      </c>
      <c r="DK124" s="108">
        <f t="shared" si="63"/>
        <v>689796</v>
      </c>
      <c r="DL124" s="108">
        <f t="shared" si="63"/>
        <v>0</v>
      </c>
      <c r="DM124" s="108">
        <f t="shared" si="63"/>
        <v>731190</v>
      </c>
      <c r="DN124" s="108">
        <f>DN36</f>
        <v>663208</v>
      </c>
      <c r="DO124" s="108">
        <f>DO36</f>
        <v>0</v>
      </c>
      <c r="DP124" s="108"/>
      <c r="DQ124" s="108">
        <f>DQ36</f>
        <v>608.87800000000004</v>
      </c>
      <c r="DR124" s="108">
        <f>DR36</f>
        <v>476.52199999999999</v>
      </c>
      <c r="DS124" s="108">
        <f>DS36</f>
        <v>0</v>
      </c>
      <c r="DT124" s="108"/>
      <c r="DU124" s="108">
        <f>DU36</f>
        <v>82233.631999999998</v>
      </c>
      <c r="DV124" s="108">
        <f>DV36</f>
        <v>76774.142999999996</v>
      </c>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108">
        <f t="shared" ref="FV124:HX124" si="64">FV36</f>
        <v>0</v>
      </c>
      <c r="FW124" s="108">
        <f t="shared" si="64"/>
        <v>0</v>
      </c>
      <c r="FX124" s="108">
        <f t="shared" si="64"/>
        <v>0</v>
      </c>
      <c r="FY124" s="108">
        <f t="shared" si="64"/>
        <v>0</v>
      </c>
      <c r="FZ124" s="108">
        <f t="shared" si="64"/>
        <v>0</v>
      </c>
      <c r="GA124" s="108">
        <f t="shared" si="64"/>
        <v>0</v>
      </c>
      <c r="GB124" s="108">
        <f t="shared" si="64"/>
        <v>0</v>
      </c>
      <c r="GC124" s="108">
        <f t="shared" si="64"/>
        <v>0</v>
      </c>
      <c r="GD124" s="108">
        <f t="shared" si="64"/>
        <v>0</v>
      </c>
      <c r="GE124" s="108">
        <f t="shared" si="64"/>
        <v>0</v>
      </c>
      <c r="GF124" s="108">
        <f t="shared" si="64"/>
        <v>0</v>
      </c>
      <c r="GG124" s="108">
        <f t="shared" si="64"/>
        <v>0</v>
      </c>
      <c r="GH124" s="108">
        <f t="shared" si="64"/>
        <v>0</v>
      </c>
      <c r="GI124" s="108">
        <f t="shared" si="64"/>
        <v>0</v>
      </c>
      <c r="GJ124" s="108">
        <f t="shared" si="64"/>
        <v>0</v>
      </c>
      <c r="GK124" s="108">
        <f t="shared" si="64"/>
        <v>0</v>
      </c>
      <c r="GL124" s="108">
        <f t="shared" si="64"/>
        <v>0</v>
      </c>
      <c r="GM124" s="108">
        <f t="shared" si="64"/>
        <v>0</v>
      </c>
      <c r="GN124" s="108">
        <f t="shared" si="64"/>
        <v>0</v>
      </c>
      <c r="GO124" s="108">
        <f t="shared" si="64"/>
        <v>0</v>
      </c>
      <c r="GP124" s="108">
        <f t="shared" si="64"/>
        <v>0</v>
      </c>
      <c r="GQ124" s="108">
        <f t="shared" si="64"/>
        <v>0</v>
      </c>
      <c r="GR124" s="108">
        <f t="shared" si="64"/>
        <v>0</v>
      </c>
      <c r="GS124" s="108">
        <f t="shared" si="64"/>
        <v>0</v>
      </c>
      <c r="GT124" s="108">
        <f t="shared" si="64"/>
        <v>0</v>
      </c>
      <c r="GU124" s="108">
        <f t="shared" si="64"/>
        <v>0</v>
      </c>
      <c r="GV124" s="108">
        <f t="shared" si="64"/>
        <v>0</v>
      </c>
      <c r="GW124" s="108">
        <f t="shared" si="64"/>
        <v>0</v>
      </c>
      <c r="GX124" s="108">
        <f t="shared" si="64"/>
        <v>0</v>
      </c>
      <c r="GY124" s="108">
        <f t="shared" si="64"/>
        <v>0</v>
      </c>
      <c r="GZ124" s="108">
        <f t="shared" si="64"/>
        <v>0</v>
      </c>
      <c r="HA124" s="108">
        <f t="shared" si="64"/>
        <v>0</v>
      </c>
      <c r="HB124" s="108">
        <f t="shared" si="64"/>
        <v>0</v>
      </c>
      <c r="HC124" s="108">
        <f t="shared" si="64"/>
        <v>0</v>
      </c>
      <c r="HD124" s="108">
        <f t="shared" si="64"/>
        <v>0</v>
      </c>
      <c r="HE124" s="108">
        <f t="shared" si="64"/>
        <v>0</v>
      </c>
      <c r="HF124" s="108">
        <f t="shared" si="64"/>
        <v>0</v>
      </c>
      <c r="HG124" s="108">
        <f t="shared" si="64"/>
        <v>0</v>
      </c>
      <c r="HH124" s="108">
        <f t="shared" si="64"/>
        <v>0</v>
      </c>
      <c r="HI124" s="108">
        <f t="shared" si="64"/>
        <v>0</v>
      </c>
      <c r="HJ124" s="108">
        <f t="shared" si="64"/>
        <v>0</v>
      </c>
      <c r="HK124" s="108">
        <f t="shared" si="64"/>
        <v>0</v>
      </c>
      <c r="HL124" s="108">
        <f t="shared" si="64"/>
        <v>0</v>
      </c>
      <c r="HM124" s="108">
        <f t="shared" si="64"/>
        <v>0</v>
      </c>
      <c r="HN124" s="108">
        <f t="shared" si="64"/>
        <v>0</v>
      </c>
      <c r="HO124" s="108">
        <f t="shared" si="64"/>
        <v>0</v>
      </c>
      <c r="HP124" s="108">
        <f t="shared" si="64"/>
        <v>0</v>
      </c>
      <c r="HQ124" s="108">
        <f t="shared" si="64"/>
        <v>0</v>
      </c>
      <c r="HR124" s="108">
        <f t="shared" si="64"/>
        <v>0</v>
      </c>
      <c r="HS124" s="108">
        <f t="shared" si="64"/>
        <v>0</v>
      </c>
      <c r="HT124" s="108">
        <f t="shared" si="64"/>
        <v>0</v>
      </c>
      <c r="HU124" s="108">
        <f t="shared" si="64"/>
        <v>0</v>
      </c>
      <c r="HV124" s="108">
        <f t="shared" si="64"/>
        <v>0</v>
      </c>
      <c r="HW124" s="108">
        <f t="shared" si="64"/>
        <v>0</v>
      </c>
      <c r="HX124" s="108">
        <f t="shared" si="64"/>
        <v>0</v>
      </c>
    </row>
    <row r="125" spans="1:232" s="176" customFormat="1" ht="12.75" customHeight="1" x14ac:dyDescent="0.2">
      <c r="A125" s="10"/>
      <c r="B125" s="175" t="s">
        <v>301</v>
      </c>
      <c r="C125" s="10"/>
      <c r="D125" s="10"/>
      <c r="E125" s="108">
        <f t="shared" ref="E125:BO125" si="65">AVERAGE(E33:F33)+AVERAGE(E34:F34)</f>
        <v>21839.398000000001</v>
      </c>
      <c r="F125" s="108" t="e">
        <f t="shared" si="65"/>
        <v>#DIV/0!</v>
      </c>
      <c r="G125" s="108">
        <f>AVERAGE(G33:I33)+AVERAGE(G34:I34)</f>
        <v>0</v>
      </c>
      <c r="H125" s="108"/>
      <c r="I125" s="108">
        <f t="shared" si="65"/>
        <v>0</v>
      </c>
      <c r="J125" s="108">
        <f t="shared" si="65"/>
        <v>0</v>
      </c>
      <c r="K125" s="108">
        <f>AVERAGE(K33:M33)+AVERAGE(K34:M34)</f>
        <v>275121</v>
      </c>
      <c r="L125" s="108"/>
      <c r="M125" s="108">
        <f t="shared" si="65"/>
        <v>280683</v>
      </c>
      <c r="N125" s="108">
        <f t="shared" si="65"/>
        <v>286245</v>
      </c>
      <c r="O125" s="108">
        <f>AVERAGE(O33:Q33)+AVERAGE(O34:Q34)</f>
        <v>45412</v>
      </c>
      <c r="P125" s="108"/>
      <c r="Q125" s="108">
        <f t="shared" si="65"/>
        <v>40118.538499999995</v>
      </c>
      <c r="R125" s="108">
        <f t="shared" si="65"/>
        <v>33362.101499999997</v>
      </c>
      <c r="S125" s="108">
        <f t="shared" si="65"/>
        <v>31899.126</v>
      </c>
      <c r="T125" s="108">
        <f>AVERAGE(T33:V33)+AVERAGE(T34:V34)</f>
        <v>268096</v>
      </c>
      <c r="U125" s="108"/>
      <c r="V125" s="108">
        <f t="shared" si="65"/>
        <v>214249.5</v>
      </c>
      <c r="W125" s="108">
        <f t="shared" si="65"/>
        <v>160403</v>
      </c>
      <c r="X125" s="108">
        <f>AVERAGE(X33:Z33)+AVERAGE(X34:Z34)</f>
        <v>55929.584000000003</v>
      </c>
      <c r="Y125" s="108"/>
      <c r="Z125" s="108">
        <f t="shared" si="65"/>
        <v>55846.438999999998</v>
      </c>
      <c r="AA125" s="108">
        <f t="shared" si="65"/>
        <v>55763.294000000002</v>
      </c>
      <c r="AB125" s="108">
        <f>AVERAGE(AB33:AD33)+AVERAGE(AB34:AD34)</f>
        <v>50526.615999999995</v>
      </c>
      <c r="AC125" s="108"/>
      <c r="AD125" s="108">
        <f t="shared" si="65"/>
        <v>44630.735500000003</v>
      </c>
      <c r="AE125" s="108">
        <f t="shared" si="65"/>
        <v>38734.855000000003</v>
      </c>
      <c r="AF125" s="108">
        <f>AVERAGE(AF33:AH33)+AVERAGE(AF34:AH34)</f>
        <v>315802</v>
      </c>
      <c r="AG125" s="108"/>
      <c r="AH125" s="108">
        <f t="shared" si="65"/>
        <v>329877.5</v>
      </c>
      <c r="AI125" s="108">
        <f t="shared" si="65"/>
        <v>343953</v>
      </c>
      <c r="AJ125" s="108">
        <f>AVERAGE(AJ33:AL33)+AVERAGE(AJ34:AL34)</f>
        <v>5512.5</v>
      </c>
      <c r="AK125" s="108"/>
      <c r="AL125" s="108">
        <f t="shared" si="65"/>
        <v>2756.25</v>
      </c>
      <c r="AM125" s="108">
        <f t="shared" si="65"/>
        <v>0</v>
      </c>
      <c r="AN125" s="108">
        <f>AVERAGE(AN33:AP33)+AVERAGE(AN34:AP34)</f>
        <v>33689.807000000001</v>
      </c>
      <c r="AO125" s="108"/>
      <c r="AP125" s="108">
        <f t="shared" si="65"/>
        <v>20559.353500000001</v>
      </c>
      <c r="AQ125" s="108">
        <f t="shared" si="65"/>
        <v>7428.9</v>
      </c>
      <c r="AR125" s="108">
        <f>AVERAGE(AR33:AT33)+AVERAGE(AR34:AT34)</f>
        <v>128901.92</v>
      </c>
      <c r="AS125" s="108"/>
      <c r="AT125" s="108">
        <f t="shared" si="65"/>
        <v>100095.16899999999</v>
      </c>
      <c r="AU125" s="108">
        <f t="shared" si="65"/>
        <v>71288.418000000005</v>
      </c>
      <c r="AV125" s="108">
        <f>AVERAGE(AV33:AX33)+AVERAGE(AV34:AX34)</f>
        <v>652980</v>
      </c>
      <c r="AW125" s="108"/>
      <c r="AX125" s="108">
        <f t="shared" si="65"/>
        <v>609499</v>
      </c>
      <c r="AY125" s="108">
        <f t="shared" si="65"/>
        <v>566018</v>
      </c>
      <c r="AZ125" s="108">
        <f>AVERAGE(AZ33:BB33)+AVERAGE(AZ34:BB34)</f>
        <v>330.02200000000005</v>
      </c>
      <c r="BA125" s="108"/>
      <c r="BB125" s="108">
        <f t="shared" si="65"/>
        <v>330.02200000000005</v>
      </c>
      <c r="BC125" s="108" t="e">
        <f t="shared" si="65"/>
        <v>#DIV/0!</v>
      </c>
      <c r="BD125" s="108" t="e">
        <f>AVERAGE(BD33:BF33)+AVERAGE(BD34:BF34)</f>
        <v>#DIV/0!</v>
      </c>
      <c r="BE125" s="108"/>
      <c r="BF125" s="108" t="e">
        <f t="shared" si="65"/>
        <v>#DIV/0!</v>
      </c>
      <c r="BG125" s="108" t="e">
        <f t="shared" si="65"/>
        <v>#DIV/0!</v>
      </c>
      <c r="BH125" s="108">
        <f>AVERAGE(BH33:BJ33)+AVERAGE(BH34:BJ34)</f>
        <v>11000</v>
      </c>
      <c r="BI125" s="108"/>
      <c r="BJ125" s="108">
        <f t="shared" si="65"/>
        <v>11000</v>
      </c>
      <c r="BK125" s="108">
        <f t="shared" si="65"/>
        <v>11000</v>
      </c>
      <c r="BL125" s="108">
        <f>AVERAGE(BL33:BN33)+AVERAGE(BL34:BN34)</f>
        <v>2848.1559999999999</v>
      </c>
      <c r="BM125" s="108"/>
      <c r="BN125" s="108">
        <f t="shared" si="65"/>
        <v>2500.9629999999997</v>
      </c>
      <c r="BO125" s="108">
        <f t="shared" si="65"/>
        <v>2153.77</v>
      </c>
      <c r="BP125" s="108">
        <f>AVERAGE(BP33:BR33)+AVERAGE(BP34:BR34)</f>
        <v>31576.224999999999</v>
      </c>
      <c r="BQ125" s="108"/>
      <c r="BR125" s="108">
        <f t="shared" ref="BR125" si="66">AVERAGE(BR33:BS33)+AVERAGE(BR34:BS34)</f>
        <v>33874.21</v>
      </c>
      <c r="BS125" s="108">
        <f>AVERAGE(BS33:BX33)+AVERAGE(BS34:BX34)</f>
        <v>33740.896000000001</v>
      </c>
      <c r="BT125" s="108"/>
      <c r="BU125" s="108"/>
      <c r="BV125" s="108">
        <f>AVERAGE(BV33:BW33)+AVERAGE(BV34:BW34)</f>
        <v>32525.246500000001</v>
      </c>
      <c r="BW125" s="108"/>
      <c r="BX125" s="108">
        <f>AVERAGE(BX33:BZ33)+AVERAGE(BX34:BZ34)</f>
        <v>362506</v>
      </c>
      <c r="BY125" s="108"/>
      <c r="BZ125" s="108">
        <f t="shared" ref="BZ125:DV125" si="67">AVERAGE(BZ33:CA33)+AVERAGE(BZ34:CA34)</f>
        <v>355680</v>
      </c>
      <c r="CA125" s="108">
        <f t="shared" si="67"/>
        <v>348854</v>
      </c>
      <c r="CB125" s="108">
        <f>AVERAGE(CB33:CD33)+AVERAGE(CB34:CD34)</f>
        <v>721483.5560000001</v>
      </c>
      <c r="CC125" s="108"/>
      <c r="CD125" s="108">
        <f t="shared" si="67"/>
        <v>680945.86849999998</v>
      </c>
      <c r="CE125" s="108">
        <f t="shared" si="67"/>
        <v>640408.18099999998</v>
      </c>
      <c r="CF125" s="108" t="e">
        <f>AVERAGE(CF33:CH33)+AVERAGE(CF34:CH34)</f>
        <v>#DIV/0!</v>
      </c>
      <c r="CG125" s="108"/>
      <c r="CH125" s="108" t="e">
        <f t="shared" si="67"/>
        <v>#DIV/0!</v>
      </c>
      <c r="CI125" s="108" t="e">
        <f t="shared" si="67"/>
        <v>#DIV/0!</v>
      </c>
      <c r="CJ125" s="108">
        <f>AVERAGE(CJ33:CL33)+AVERAGE(CJ34:CL34)</f>
        <v>1405630</v>
      </c>
      <c r="CK125" s="108"/>
      <c r="CL125" s="108">
        <f t="shared" si="67"/>
        <v>1329185</v>
      </c>
      <c r="CM125" s="108">
        <f t="shared" si="67"/>
        <v>1252740</v>
      </c>
      <c r="CN125" s="108">
        <f>AVERAGE(CN33:CP33)+AVERAGE(CN34:CP34)</f>
        <v>33240.107000000004</v>
      </c>
      <c r="CO125" s="108"/>
      <c r="CP125" s="108">
        <f t="shared" si="67"/>
        <v>31728.374000000003</v>
      </c>
      <c r="CQ125" s="108">
        <f t="shared" si="67"/>
        <v>30216.641000000003</v>
      </c>
      <c r="CR125" s="108">
        <f>AVERAGE(CR33:CT33)+AVERAGE(CR34:CT34)</f>
        <v>197226</v>
      </c>
      <c r="CS125" s="108"/>
      <c r="CT125" s="108">
        <f t="shared" si="67"/>
        <v>198539.5</v>
      </c>
      <c r="CU125" s="108">
        <f t="shared" si="67"/>
        <v>199853</v>
      </c>
      <c r="CV125" s="108">
        <f>AVERAGE(CV33:CX33)+AVERAGE(CV34:CX34)</f>
        <v>52081</v>
      </c>
      <c r="CW125" s="108"/>
      <c r="CX125" s="108">
        <f t="shared" si="67"/>
        <v>53615</v>
      </c>
      <c r="CY125" s="108">
        <f t="shared" si="67"/>
        <v>55149</v>
      </c>
      <c r="CZ125" s="108" t="e">
        <f>AVERAGE(CZ33:DB33)+AVERAGE(CZ34:DB34)</f>
        <v>#DIV/0!</v>
      </c>
      <c r="DA125" s="108"/>
      <c r="DB125" s="108" t="e">
        <f t="shared" si="67"/>
        <v>#DIV/0!</v>
      </c>
      <c r="DC125" s="108" t="e">
        <f t="shared" si="67"/>
        <v>#DIV/0!</v>
      </c>
      <c r="DD125" s="108">
        <f>AVERAGE(DD33:DF33)+AVERAGE(DD34:DF34)</f>
        <v>251919.09399999998</v>
      </c>
      <c r="DE125" s="108"/>
      <c r="DF125" s="108">
        <f t="shared" si="67"/>
        <v>220401.62349999999</v>
      </c>
      <c r="DG125" s="108">
        <f t="shared" si="67"/>
        <v>188884.15299999999</v>
      </c>
      <c r="DH125" s="108">
        <f>AVERAGE(DH33:DJ33)+AVERAGE(DH34:DJ34)</f>
        <v>10167628</v>
      </c>
      <c r="DI125" s="108"/>
      <c r="DJ125" s="108">
        <f t="shared" si="67"/>
        <v>9933354.5</v>
      </c>
      <c r="DK125" s="108">
        <f t="shared" si="67"/>
        <v>9699081</v>
      </c>
      <c r="DL125" s="108">
        <f t="shared" si="67"/>
        <v>9502333</v>
      </c>
      <c r="DM125" s="108">
        <f t="shared" si="67"/>
        <v>7477962.5</v>
      </c>
      <c r="DN125" s="108">
        <f t="shared" si="67"/>
        <v>5453592</v>
      </c>
      <c r="DO125" s="108">
        <f>AVERAGE(DO33:DQ33)+AVERAGE(DO34:DQ34)</f>
        <v>5144.8180000000002</v>
      </c>
      <c r="DP125" s="108"/>
      <c r="DQ125" s="108">
        <f t="shared" si="67"/>
        <v>3876.2350000000001</v>
      </c>
      <c r="DR125" s="108">
        <f t="shared" si="67"/>
        <v>2607.652</v>
      </c>
      <c r="DS125" s="108">
        <f>AVERAGE(DS33:DU33)+AVERAGE(DS34:DU34)</f>
        <v>427005.10700000002</v>
      </c>
      <c r="DT125" s="108"/>
      <c r="DU125" s="108">
        <f t="shared" si="67"/>
        <v>413569.02800000005</v>
      </c>
      <c r="DV125" s="108">
        <f t="shared" si="67"/>
        <v>400132.94900000002</v>
      </c>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108" t="e">
        <f t="shared" ref="FV125:HX125" si="68">AVERAGE(FV33:FW33)+AVERAGE(FV34:FW34)</f>
        <v>#DIV/0!</v>
      </c>
      <c r="FW125" s="108" t="e">
        <f t="shared" si="68"/>
        <v>#DIV/0!</v>
      </c>
      <c r="FX125" s="108" t="e">
        <f t="shared" si="68"/>
        <v>#DIV/0!</v>
      </c>
      <c r="FY125" s="108" t="e">
        <f t="shared" si="68"/>
        <v>#DIV/0!</v>
      </c>
      <c r="FZ125" s="108" t="e">
        <f t="shared" si="68"/>
        <v>#DIV/0!</v>
      </c>
      <c r="GA125" s="108" t="e">
        <f t="shared" si="68"/>
        <v>#DIV/0!</v>
      </c>
      <c r="GB125" s="108" t="e">
        <f t="shared" si="68"/>
        <v>#DIV/0!</v>
      </c>
      <c r="GC125" s="108" t="e">
        <f t="shared" si="68"/>
        <v>#DIV/0!</v>
      </c>
      <c r="GD125" s="108" t="e">
        <f t="shared" si="68"/>
        <v>#DIV/0!</v>
      </c>
      <c r="GE125" s="108" t="e">
        <f t="shared" si="68"/>
        <v>#DIV/0!</v>
      </c>
      <c r="GF125" s="108" t="e">
        <f t="shared" si="68"/>
        <v>#DIV/0!</v>
      </c>
      <c r="GG125" s="108" t="e">
        <f t="shared" si="68"/>
        <v>#DIV/0!</v>
      </c>
      <c r="GH125" s="108" t="e">
        <f t="shared" si="68"/>
        <v>#DIV/0!</v>
      </c>
      <c r="GI125" s="108" t="e">
        <f t="shared" si="68"/>
        <v>#DIV/0!</v>
      </c>
      <c r="GJ125" s="108" t="e">
        <f t="shared" si="68"/>
        <v>#DIV/0!</v>
      </c>
      <c r="GK125" s="108" t="e">
        <f t="shared" si="68"/>
        <v>#DIV/0!</v>
      </c>
      <c r="GL125" s="108" t="e">
        <f t="shared" si="68"/>
        <v>#DIV/0!</v>
      </c>
      <c r="GM125" s="108" t="e">
        <f t="shared" si="68"/>
        <v>#DIV/0!</v>
      </c>
      <c r="GN125" s="108" t="e">
        <f t="shared" si="68"/>
        <v>#DIV/0!</v>
      </c>
      <c r="GO125" s="108" t="e">
        <f t="shared" si="68"/>
        <v>#DIV/0!</v>
      </c>
      <c r="GP125" s="108" t="e">
        <f t="shared" si="68"/>
        <v>#DIV/0!</v>
      </c>
      <c r="GQ125" s="108" t="e">
        <f t="shared" si="68"/>
        <v>#DIV/0!</v>
      </c>
      <c r="GR125" s="108" t="e">
        <f t="shared" si="68"/>
        <v>#DIV/0!</v>
      </c>
      <c r="GS125" s="108" t="e">
        <f t="shared" si="68"/>
        <v>#DIV/0!</v>
      </c>
      <c r="GT125" s="108" t="e">
        <f t="shared" si="68"/>
        <v>#DIV/0!</v>
      </c>
      <c r="GU125" s="108" t="e">
        <f t="shared" si="68"/>
        <v>#DIV/0!</v>
      </c>
      <c r="GV125" s="108" t="e">
        <f t="shared" si="68"/>
        <v>#DIV/0!</v>
      </c>
      <c r="GW125" s="108" t="e">
        <f t="shared" si="68"/>
        <v>#DIV/0!</v>
      </c>
      <c r="GX125" s="108" t="e">
        <f t="shared" si="68"/>
        <v>#DIV/0!</v>
      </c>
      <c r="GY125" s="108" t="e">
        <f t="shared" si="68"/>
        <v>#DIV/0!</v>
      </c>
      <c r="GZ125" s="108" t="e">
        <f t="shared" si="68"/>
        <v>#DIV/0!</v>
      </c>
      <c r="HA125" s="108" t="e">
        <f t="shared" si="68"/>
        <v>#DIV/0!</v>
      </c>
      <c r="HB125" s="108" t="e">
        <f t="shared" si="68"/>
        <v>#DIV/0!</v>
      </c>
      <c r="HC125" s="108" t="e">
        <f t="shared" si="68"/>
        <v>#DIV/0!</v>
      </c>
      <c r="HD125" s="108" t="e">
        <f t="shared" si="68"/>
        <v>#DIV/0!</v>
      </c>
      <c r="HE125" s="108" t="e">
        <f t="shared" si="68"/>
        <v>#DIV/0!</v>
      </c>
      <c r="HF125" s="108" t="e">
        <f t="shared" si="68"/>
        <v>#DIV/0!</v>
      </c>
      <c r="HG125" s="108" t="e">
        <f t="shared" si="68"/>
        <v>#DIV/0!</v>
      </c>
      <c r="HH125" s="108" t="e">
        <f t="shared" si="68"/>
        <v>#DIV/0!</v>
      </c>
      <c r="HI125" s="108" t="e">
        <f t="shared" si="68"/>
        <v>#DIV/0!</v>
      </c>
      <c r="HJ125" s="108" t="e">
        <f t="shared" si="68"/>
        <v>#DIV/0!</v>
      </c>
      <c r="HK125" s="108" t="e">
        <f t="shared" si="68"/>
        <v>#DIV/0!</v>
      </c>
      <c r="HL125" s="108" t="e">
        <f t="shared" si="68"/>
        <v>#DIV/0!</v>
      </c>
      <c r="HM125" s="108" t="e">
        <f t="shared" si="68"/>
        <v>#DIV/0!</v>
      </c>
      <c r="HN125" s="108" t="e">
        <f t="shared" si="68"/>
        <v>#DIV/0!</v>
      </c>
      <c r="HO125" s="108" t="e">
        <f t="shared" si="68"/>
        <v>#DIV/0!</v>
      </c>
      <c r="HP125" s="108" t="e">
        <f t="shared" si="68"/>
        <v>#DIV/0!</v>
      </c>
      <c r="HQ125" s="108" t="e">
        <f t="shared" si="68"/>
        <v>#DIV/0!</v>
      </c>
      <c r="HR125" s="108" t="e">
        <f t="shared" si="68"/>
        <v>#DIV/0!</v>
      </c>
      <c r="HS125" s="108" t="e">
        <f t="shared" si="68"/>
        <v>#DIV/0!</v>
      </c>
      <c r="HT125" s="108" t="e">
        <f t="shared" si="68"/>
        <v>#DIV/0!</v>
      </c>
      <c r="HU125" s="108" t="e">
        <f t="shared" si="68"/>
        <v>#DIV/0!</v>
      </c>
      <c r="HV125" s="108" t="e">
        <f t="shared" si="68"/>
        <v>#DIV/0!</v>
      </c>
      <c r="HW125" s="108" t="e">
        <f t="shared" si="68"/>
        <v>#DIV/0!</v>
      </c>
      <c r="HX125" s="108" t="e">
        <f t="shared" si="68"/>
        <v>#DIV/0!</v>
      </c>
    </row>
    <row r="126" spans="1:232" s="176" customFormat="1" ht="12.75" customHeight="1" x14ac:dyDescent="0.2">
      <c r="A126" s="10"/>
      <c r="B126" s="175" t="s">
        <v>302</v>
      </c>
      <c r="C126" s="10"/>
      <c r="D126" s="10"/>
      <c r="E126" s="108">
        <f t="shared" ref="E126:AT126" si="69">SUM(E33:E34)</f>
        <v>21839.398000000001</v>
      </c>
      <c r="F126" s="108">
        <f t="shared" si="69"/>
        <v>0</v>
      </c>
      <c r="G126" s="108">
        <f t="shared" si="69"/>
        <v>0</v>
      </c>
      <c r="H126" s="108"/>
      <c r="I126" s="108">
        <f t="shared" si="69"/>
        <v>0</v>
      </c>
      <c r="J126" s="108">
        <f t="shared" si="69"/>
        <v>0</v>
      </c>
      <c r="K126" s="108">
        <f t="shared" si="69"/>
        <v>0</v>
      </c>
      <c r="L126" s="108"/>
      <c r="M126" s="108">
        <f t="shared" si="69"/>
        <v>275121</v>
      </c>
      <c r="N126" s="108">
        <f t="shared" si="69"/>
        <v>286245</v>
      </c>
      <c r="O126" s="108">
        <f t="shared" si="69"/>
        <v>0</v>
      </c>
      <c r="P126" s="108"/>
      <c r="Q126" s="108">
        <f t="shared" si="69"/>
        <v>45412</v>
      </c>
      <c r="R126" s="108">
        <f t="shared" si="69"/>
        <v>34825.076999999997</v>
      </c>
      <c r="S126" s="108">
        <f t="shared" si="69"/>
        <v>31899.126</v>
      </c>
      <c r="T126" s="108">
        <f t="shared" si="69"/>
        <v>0</v>
      </c>
      <c r="U126" s="108"/>
      <c r="V126" s="108">
        <f t="shared" si="69"/>
        <v>268096</v>
      </c>
      <c r="W126" s="108">
        <f t="shared" si="69"/>
        <v>160403</v>
      </c>
      <c r="X126" s="108">
        <f t="shared" si="69"/>
        <v>0</v>
      </c>
      <c r="Y126" s="108"/>
      <c r="Z126" s="108">
        <f t="shared" si="69"/>
        <v>55929.584000000003</v>
      </c>
      <c r="AA126" s="108">
        <f t="shared" si="69"/>
        <v>55763.294000000002</v>
      </c>
      <c r="AB126" s="108">
        <f t="shared" si="69"/>
        <v>0</v>
      </c>
      <c r="AC126" s="108"/>
      <c r="AD126" s="108">
        <f t="shared" si="69"/>
        <v>50526.615999999995</v>
      </c>
      <c r="AE126" s="108">
        <f t="shared" si="69"/>
        <v>38734.855000000003</v>
      </c>
      <c r="AF126" s="108">
        <f t="shared" si="69"/>
        <v>0</v>
      </c>
      <c r="AG126" s="108"/>
      <c r="AH126" s="108">
        <f t="shared" si="69"/>
        <v>315802</v>
      </c>
      <c r="AI126" s="108">
        <f t="shared" si="69"/>
        <v>343953</v>
      </c>
      <c r="AJ126" s="108">
        <f t="shared" si="69"/>
        <v>0</v>
      </c>
      <c r="AK126" s="108"/>
      <c r="AL126" s="108">
        <f t="shared" si="69"/>
        <v>5512.5</v>
      </c>
      <c r="AM126" s="108">
        <f t="shared" si="69"/>
        <v>0</v>
      </c>
      <c r="AN126" s="108">
        <f t="shared" si="69"/>
        <v>0</v>
      </c>
      <c r="AO126" s="108"/>
      <c r="AP126" s="108">
        <f t="shared" si="69"/>
        <v>33689.807000000001</v>
      </c>
      <c r="AQ126" s="108">
        <f t="shared" si="69"/>
        <v>7428.9</v>
      </c>
      <c r="AR126" s="108">
        <f t="shared" si="69"/>
        <v>0</v>
      </c>
      <c r="AS126" s="108"/>
      <c r="AT126" s="108">
        <f t="shared" si="69"/>
        <v>128901.92</v>
      </c>
      <c r="AU126" s="108">
        <f t="shared" ref="AU126:BS126" si="70">SUM(AU33:AU34)</f>
        <v>71288.418000000005</v>
      </c>
      <c r="AV126" s="108">
        <f t="shared" si="70"/>
        <v>0</v>
      </c>
      <c r="AW126" s="108"/>
      <c r="AX126" s="108">
        <f t="shared" si="70"/>
        <v>652980</v>
      </c>
      <c r="AY126" s="108">
        <f t="shared" si="70"/>
        <v>566018</v>
      </c>
      <c r="AZ126" s="108">
        <f t="shared" si="70"/>
        <v>0</v>
      </c>
      <c r="BA126" s="108"/>
      <c r="BB126" s="108">
        <f t="shared" si="70"/>
        <v>330.02200000000005</v>
      </c>
      <c r="BC126" s="108">
        <f t="shared" si="70"/>
        <v>0</v>
      </c>
      <c r="BD126" s="108">
        <f t="shared" si="70"/>
        <v>0</v>
      </c>
      <c r="BE126" s="108"/>
      <c r="BF126" s="108">
        <f t="shared" si="70"/>
        <v>0</v>
      </c>
      <c r="BG126" s="108">
        <f t="shared" si="70"/>
        <v>0</v>
      </c>
      <c r="BH126" s="108">
        <f t="shared" si="70"/>
        <v>0</v>
      </c>
      <c r="BI126" s="108"/>
      <c r="BJ126" s="108">
        <f t="shared" si="70"/>
        <v>11000</v>
      </c>
      <c r="BK126" s="108">
        <f t="shared" si="70"/>
        <v>11000</v>
      </c>
      <c r="BL126" s="108">
        <f t="shared" si="70"/>
        <v>0</v>
      </c>
      <c r="BM126" s="108"/>
      <c r="BN126" s="108">
        <f t="shared" si="70"/>
        <v>2848.1559999999999</v>
      </c>
      <c r="BO126" s="108">
        <f t="shared" si="70"/>
        <v>2153.77</v>
      </c>
      <c r="BP126" s="108">
        <f t="shared" si="70"/>
        <v>0</v>
      </c>
      <c r="BQ126" s="108"/>
      <c r="BR126" s="108">
        <f t="shared" si="70"/>
        <v>31576.224999999999</v>
      </c>
      <c r="BS126" s="108">
        <f t="shared" si="70"/>
        <v>36172.195</v>
      </c>
      <c r="BT126" s="108"/>
      <c r="BU126" s="108"/>
      <c r="BV126" s="108">
        <f>SUM(BV33:BV34)</f>
        <v>34751.865999999995</v>
      </c>
      <c r="BW126" s="108"/>
      <c r="BX126" s="108">
        <f t="shared" ref="BX126:DM126" si="71">SUM(BX33:BX34)</f>
        <v>0</v>
      </c>
      <c r="BY126" s="108"/>
      <c r="BZ126" s="108">
        <f t="shared" si="71"/>
        <v>362506</v>
      </c>
      <c r="CA126" s="108">
        <f t="shared" si="71"/>
        <v>348854</v>
      </c>
      <c r="CB126" s="108">
        <f t="shared" si="71"/>
        <v>0</v>
      </c>
      <c r="CC126" s="108"/>
      <c r="CD126" s="108">
        <f t="shared" si="71"/>
        <v>721483.5560000001</v>
      </c>
      <c r="CE126" s="108">
        <f t="shared" si="71"/>
        <v>640408.18099999998</v>
      </c>
      <c r="CF126" s="108">
        <f t="shared" si="71"/>
        <v>0</v>
      </c>
      <c r="CG126" s="108"/>
      <c r="CH126" s="108">
        <f t="shared" si="71"/>
        <v>0</v>
      </c>
      <c r="CI126" s="108">
        <f t="shared" si="71"/>
        <v>0</v>
      </c>
      <c r="CJ126" s="108">
        <f t="shared" si="71"/>
        <v>0</v>
      </c>
      <c r="CK126" s="108"/>
      <c r="CL126" s="108">
        <f t="shared" si="71"/>
        <v>1405630</v>
      </c>
      <c r="CM126" s="108">
        <f t="shared" si="71"/>
        <v>1252740</v>
      </c>
      <c r="CN126" s="108">
        <f t="shared" si="71"/>
        <v>0</v>
      </c>
      <c r="CO126" s="108"/>
      <c r="CP126" s="108">
        <f t="shared" si="71"/>
        <v>33240.107000000004</v>
      </c>
      <c r="CQ126" s="108">
        <f t="shared" si="71"/>
        <v>30216.641000000003</v>
      </c>
      <c r="CR126" s="108">
        <f t="shared" si="71"/>
        <v>0</v>
      </c>
      <c r="CS126" s="108"/>
      <c r="CT126" s="108">
        <f t="shared" si="71"/>
        <v>197226</v>
      </c>
      <c r="CU126" s="108">
        <f t="shared" si="71"/>
        <v>199853</v>
      </c>
      <c r="CV126" s="108">
        <f t="shared" si="71"/>
        <v>0</v>
      </c>
      <c r="CW126" s="108"/>
      <c r="CX126" s="108">
        <f t="shared" si="71"/>
        <v>52081</v>
      </c>
      <c r="CY126" s="108">
        <f t="shared" si="71"/>
        <v>55149</v>
      </c>
      <c r="CZ126" s="108">
        <f t="shared" si="71"/>
        <v>0</v>
      </c>
      <c r="DA126" s="108"/>
      <c r="DB126" s="108">
        <f t="shared" si="71"/>
        <v>0</v>
      </c>
      <c r="DC126" s="108">
        <f t="shared" si="71"/>
        <v>0</v>
      </c>
      <c r="DD126" s="108">
        <f t="shared" si="71"/>
        <v>0</v>
      </c>
      <c r="DE126" s="108"/>
      <c r="DF126" s="108">
        <f t="shared" si="71"/>
        <v>251919.09399999998</v>
      </c>
      <c r="DG126" s="108">
        <f t="shared" si="71"/>
        <v>188884.15299999999</v>
      </c>
      <c r="DH126" s="108">
        <f t="shared" si="71"/>
        <v>0</v>
      </c>
      <c r="DI126" s="108"/>
      <c r="DJ126" s="108">
        <f t="shared" si="71"/>
        <v>10167628</v>
      </c>
      <c r="DK126" s="108">
        <f t="shared" si="71"/>
        <v>9699081</v>
      </c>
      <c r="DL126" s="108">
        <f t="shared" si="71"/>
        <v>0</v>
      </c>
      <c r="DM126" s="108">
        <f t="shared" si="71"/>
        <v>9502333</v>
      </c>
      <c r="DN126" s="108">
        <f>SUM(DN33:DN34)</f>
        <v>5453592</v>
      </c>
      <c r="DO126" s="108">
        <f>SUM(DO33:DO34)</f>
        <v>0</v>
      </c>
      <c r="DP126" s="108"/>
      <c r="DQ126" s="108">
        <f>SUM(DQ33:DQ34)</f>
        <v>5144.8180000000002</v>
      </c>
      <c r="DR126" s="108">
        <f>SUM(DR33:DR34)</f>
        <v>2607.652</v>
      </c>
      <c r="DS126" s="108">
        <f>SUM(DS33:DS34)</f>
        <v>0</v>
      </c>
      <c r="DT126" s="108"/>
      <c r="DU126" s="108">
        <f>SUM(DU33:DU34)</f>
        <v>427005.10700000002</v>
      </c>
      <c r="DV126" s="108">
        <f>SUM(DV33:DV34)</f>
        <v>400132.94900000002</v>
      </c>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108">
        <f t="shared" ref="FV126:HX126" si="72">SUM(FV33:FV34)</f>
        <v>0</v>
      </c>
      <c r="FW126" s="108">
        <f t="shared" si="72"/>
        <v>0</v>
      </c>
      <c r="FX126" s="108">
        <f t="shared" si="72"/>
        <v>0</v>
      </c>
      <c r="FY126" s="108">
        <f t="shared" si="72"/>
        <v>0</v>
      </c>
      <c r="FZ126" s="108">
        <f t="shared" si="72"/>
        <v>0</v>
      </c>
      <c r="GA126" s="108">
        <f t="shared" si="72"/>
        <v>0</v>
      </c>
      <c r="GB126" s="108">
        <f t="shared" si="72"/>
        <v>0</v>
      </c>
      <c r="GC126" s="108">
        <f t="shared" si="72"/>
        <v>0</v>
      </c>
      <c r="GD126" s="108">
        <f t="shared" si="72"/>
        <v>0</v>
      </c>
      <c r="GE126" s="108">
        <f t="shared" si="72"/>
        <v>0</v>
      </c>
      <c r="GF126" s="108">
        <f t="shared" si="72"/>
        <v>0</v>
      </c>
      <c r="GG126" s="108">
        <f t="shared" si="72"/>
        <v>0</v>
      </c>
      <c r="GH126" s="108">
        <f t="shared" si="72"/>
        <v>0</v>
      </c>
      <c r="GI126" s="108">
        <f t="shared" si="72"/>
        <v>0</v>
      </c>
      <c r="GJ126" s="108">
        <f t="shared" si="72"/>
        <v>0</v>
      </c>
      <c r="GK126" s="108">
        <f t="shared" si="72"/>
        <v>0</v>
      </c>
      <c r="GL126" s="108">
        <f t="shared" si="72"/>
        <v>0</v>
      </c>
      <c r="GM126" s="108">
        <f t="shared" si="72"/>
        <v>0</v>
      </c>
      <c r="GN126" s="108">
        <f t="shared" si="72"/>
        <v>0</v>
      </c>
      <c r="GO126" s="108">
        <f t="shared" si="72"/>
        <v>0</v>
      </c>
      <c r="GP126" s="108">
        <f t="shared" si="72"/>
        <v>0</v>
      </c>
      <c r="GQ126" s="108">
        <f t="shared" si="72"/>
        <v>0</v>
      </c>
      <c r="GR126" s="108">
        <f t="shared" si="72"/>
        <v>0</v>
      </c>
      <c r="GS126" s="108">
        <f t="shared" si="72"/>
        <v>0</v>
      </c>
      <c r="GT126" s="108">
        <f t="shared" si="72"/>
        <v>0</v>
      </c>
      <c r="GU126" s="108">
        <f t="shared" si="72"/>
        <v>0</v>
      </c>
      <c r="GV126" s="108">
        <f t="shared" si="72"/>
        <v>0</v>
      </c>
      <c r="GW126" s="108">
        <f t="shared" si="72"/>
        <v>0</v>
      </c>
      <c r="GX126" s="108">
        <f t="shared" si="72"/>
        <v>0</v>
      </c>
      <c r="GY126" s="108">
        <f t="shared" si="72"/>
        <v>0</v>
      </c>
      <c r="GZ126" s="108">
        <f t="shared" si="72"/>
        <v>0</v>
      </c>
      <c r="HA126" s="108">
        <f t="shared" si="72"/>
        <v>0</v>
      </c>
      <c r="HB126" s="108">
        <f t="shared" si="72"/>
        <v>0</v>
      </c>
      <c r="HC126" s="108">
        <f t="shared" si="72"/>
        <v>0</v>
      </c>
      <c r="HD126" s="108">
        <f t="shared" si="72"/>
        <v>0</v>
      </c>
      <c r="HE126" s="108">
        <f t="shared" si="72"/>
        <v>0</v>
      </c>
      <c r="HF126" s="108">
        <f t="shared" si="72"/>
        <v>0</v>
      </c>
      <c r="HG126" s="108">
        <f t="shared" si="72"/>
        <v>0</v>
      </c>
      <c r="HH126" s="108">
        <f t="shared" si="72"/>
        <v>0</v>
      </c>
      <c r="HI126" s="108">
        <f t="shared" si="72"/>
        <v>0</v>
      </c>
      <c r="HJ126" s="108">
        <f t="shared" si="72"/>
        <v>0</v>
      </c>
      <c r="HK126" s="108">
        <f t="shared" si="72"/>
        <v>0</v>
      </c>
      <c r="HL126" s="108">
        <f t="shared" si="72"/>
        <v>0</v>
      </c>
      <c r="HM126" s="108">
        <f t="shared" si="72"/>
        <v>0</v>
      </c>
      <c r="HN126" s="108">
        <f t="shared" si="72"/>
        <v>0</v>
      </c>
      <c r="HO126" s="108">
        <f t="shared" si="72"/>
        <v>0</v>
      </c>
      <c r="HP126" s="108">
        <f t="shared" si="72"/>
        <v>0</v>
      </c>
      <c r="HQ126" s="108">
        <f t="shared" si="72"/>
        <v>0</v>
      </c>
      <c r="HR126" s="108">
        <f t="shared" si="72"/>
        <v>0</v>
      </c>
      <c r="HS126" s="108">
        <f t="shared" si="72"/>
        <v>0</v>
      </c>
      <c r="HT126" s="108">
        <f t="shared" si="72"/>
        <v>0</v>
      </c>
      <c r="HU126" s="108">
        <f t="shared" si="72"/>
        <v>0</v>
      </c>
      <c r="HV126" s="108">
        <f t="shared" si="72"/>
        <v>0</v>
      </c>
      <c r="HW126" s="108">
        <f t="shared" si="72"/>
        <v>0</v>
      </c>
      <c r="HX126" s="108">
        <f t="shared" si="72"/>
        <v>0</v>
      </c>
    </row>
    <row r="127" spans="1:232" ht="12.75" customHeight="1" x14ac:dyDescent="0.2">
      <c r="A127" s="85"/>
      <c r="B127" s="175" t="s">
        <v>303</v>
      </c>
      <c r="C127" s="91"/>
      <c r="D127" s="92"/>
      <c r="E127" s="90">
        <f t="shared" ref="E127:BP128" si="73">E45</f>
        <v>75.177000000000007</v>
      </c>
      <c r="F127" s="90">
        <f t="shared" si="73"/>
        <v>0</v>
      </c>
      <c r="G127" s="90">
        <f t="shared" si="73"/>
        <v>0</v>
      </c>
      <c r="H127" s="88"/>
      <c r="I127" s="90">
        <f t="shared" si="73"/>
        <v>0</v>
      </c>
      <c r="J127" s="90">
        <f t="shared" si="73"/>
        <v>0</v>
      </c>
      <c r="K127" s="90">
        <f t="shared" si="73"/>
        <v>0</v>
      </c>
      <c r="L127" s="88"/>
      <c r="M127" s="90">
        <f t="shared" si="73"/>
        <v>611</v>
      </c>
      <c r="N127" s="90">
        <f t="shared" si="73"/>
        <v>611</v>
      </c>
      <c r="O127" s="90">
        <f t="shared" si="73"/>
        <v>0</v>
      </c>
      <c r="P127" s="88"/>
      <c r="Q127" s="90">
        <f t="shared" si="73"/>
        <v>216</v>
      </c>
      <c r="R127" s="90">
        <f t="shared" si="73"/>
        <v>100.001</v>
      </c>
      <c r="S127" s="90">
        <f t="shared" si="73"/>
        <v>61.597999999999999</v>
      </c>
      <c r="T127" s="90">
        <f t="shared" si="73"/>
        <v>0</v>
      </c>
      <c r="U127" s="88"/>
      <c r="V127" s="90">
        <f t="shared" si="73"/>
        <v>8378</v>
      </c>
      <c r="W127" s="90">
        <f t="shared" si="73"/>
        <v>4804</v>
      </c>
      <c r="X127" s="90">
        <f t="shared" si="73"/>
        <v>0</v>
      </c>
      <c r="Y127" s="88"/>
      <c r="Z127" s="90">
        <f t="shared" si="73"/>
        <v>185</v>
      </c>
      <c r="AA127" s="90">
        <f t="shared" si="73"/>
        <v>185</v>
      </c>
      <c r="AB127" s="90">
        <f t="shared" si="73"/>
        <v>0</v>
      </c>
      <c r="AC127" s="88"/>
      <c r="AD127" s="90">
        <f t="shared" si="73"/>
        <v>2143.431</v>
      </c>
      <c r="AE127" s="90">
        <f t="shared" si="73"/>
        <v>1520.5509999999999</v>
      </c>
      <c r="AF127" s="90">
        <f t="shared" si="73"/>
        <v>0</v>
      </c>
      <c r="AG127" s="88"/>
      <c r="AH127" s="90">
        <f t="shared" si="73"/>
        <v>5523</v>
      </c>
      <c r="AI127" s="90">
        <f t="shared" si="73"/>
        <v>5947</v>
      </c>
      <c r="AJ127" s="90">
        <f t="shared" si="73"/>
        <v>0</v>
      </c>
      <c r="AK127" s="88"/>
      <c r="AL127" s="90">
        <f t="shared" si="73"/>
        <v>0</v>
      </c>
      <c r="AM127" s="90">
        <f t="shared" si="73"/>
        <v>0</v>
      </c>
      <c r="AN127" s="90">
        <f t="shared" si="73"/>
        <v>0</v>
      </c>
      <c r="AO127" s="88"/>
      <c r="AP127" s="90">
        <f t="shared" si="73"/>
        <v>0</v>
      </c>
      <c r="AQ127" s="90">
        <f t="shared" si="73"/>
        <v>0</v>
      </c>
      <c r="AR127" s="90">
        <f t="shared" si="73"/>
        <v>0</v>
      </c>
      <c r="AS127" s="88"/>
      <c r="AT127" s="90">
        <f t="shared" si="73"/>
        <v>4056.0540000000001</v>
      </c>
      <c r="AU127" s="90">
        <f t="shared" si="73"/>
        <v>1912.1669999999999</v>
      </c>
      <c r="AV127" s="90">
        <f t="shared" si="73"/>
        <v>0</v>
      </c>
      <c r="AW127" s="88"/>
      <c r="AX127" s="90">
        <f t="shared" si="73"/>
        <v>0</v>
      </c>
      <c r="AY127" s="90">
        <f t="shared" si="73"/>
        <v>0</v>
      </c>
      <c r="AZ127" s="90">
        <f t="shared" si="73"/>
        <v>0</v>
      </c>
      <c r="BA127" s="88"/>
      <c r="BB127" s="90">
        <f t="shared" si="73"/>
        <v>0</v>
      </c>
      <c r="BC127" s="90">
        <f t="shared" si="73"/>
        <v>0</v>
      </c>
      <c r="BD127" s="90">
        <f t="shared" si="73"/>
        <v>0</v>
      </c>
      <c r="BE127" s="88"/>
      <c r="BF127" s="90">
        <f t="shared" si="73"/>
        <v>0</v>
      </c>
      <c r="BG127" s="90">
        <f t="shared" si="73"/>
        <v>0</v>
      </c>
      <c r="BH127" s="90">
        <f t="shared" si="73"/>
        <v>0</v>
      </c>
      <c r="BI127" s="88"/>
      <c r="BJ127" s="90">
        <f t="shared" si="73"/>
        <v>0</v>
      </c>
      <c r="BK127" s="90">
        <f t="shared" si="73"/>
        <v>0</v>
      </c>
      <c r="BL127" s="90">
        <f t="shared" si="73"/>
        <v>0</v>
      </c>
      <c r="BM127" s="88"/>
      <c r="BN127" s="90">
        <f t="shared" si="73"/>
        <v>46.805</v>
      </c>
      <c r="BO127" s="90">
        <f t="shared" si="73"/>
        <v>60</v>
      </c>
      <c r="BP127" s="90">
        <f t="shared" si="73"/>
        <v>0</v>
      </c>
      <c r="BQ127" s="88"/>
      <c r="BR127" s="90">
        <f t="shared" ref="BR127:BS128" si="74">BR45</f>
        <v>120.57</v>
      </c>
      <c r="BS127" s="90">
        <f t="shared" si="74"/>
        <v>119.331</v>
      </c>
      <c r="BT127" s="90"/>
      <c r="BU127" s="88"/>
      <c r="BV127" s="90">
        <f>BV45</f>
        <v>59.225999999999999</v>
      </c>
      <c r="BW127" s="90"/>
      <c r="BX127" s="90">
        <f t="shared" ref="BX127:DM128" si="75">BX45</f>
        <v>0</v>
      </c>
      <c r="BY127" s="88"/>
      <c r="BZ127" s="90">
        <f t="shared" si="75"/>
        <v>0</v>
      </c>
      <c r="CA127" s="90">
        <f t="shared" si="75"/>
        <v>0</v>
      </c>
      <c r="CB127" s="90">
        <f t="shared" si="75"/>
        <v>0</v>
      </c>
      <c r="CC127" s="88"/>
      <c r="CD127" s="90">
        <f t="shared" si="75"/>
        <v>3006.0079999999998</v>
      </c>
      <c r="CE127" s="90">
        <f t="shared" si="75"/>
        <v>2382.4549999999999</v>
      </c>
      <c r="CF127" s="90">
        <f t="shared" si="75"/>
        <v>0</v>
      </c>
      <c r="CG127" s="88"/>
      <c r="CH127" s="90">
        <f t="shared" si="75"/>
        <v>0</v>
      </c>
      <c r="CI127" s="90">
        <f t="shared" si="75"/>
        <v>0</v>
      </c>
      <c r="CJ127" s="90">
        <f t="shared" si="75"/>
        <v>0</v>
      </c>
      <c r="CK127" s="88"/>
      <c r="CL127" s="90">
        <f t="shared" si="75"/>
        <v>0</v>
      </c>
      <c r="CM127" s="90">
        <f t="shared" si="75"/>
        <v>0</v>
      </c>
      <c r="CN127" s="90">
        <f t="shared" si="75"/>
        <v>0</v>
      </c>
      <c r="CO127" s="88"/>
      <c r="CP127" s="90">
        <f t="shared" si="75"/>
        <v>55.585000000000001</v>
      </c>
      <c r="CQ127" s="90">
        <f t="shared" si="75"/>
        <v>85.584999999999994</v>
      </c>
      <c r="CR127" s="90">
        <f t="shared" si="75"/>
        <v>0</v>
      </c>
      <c r="CS127" s="88"/>
      <c r="CT127" s="90">
        <f t="shared" si="75"/>
        <v>1694</v>
      </c>
      <c r="CU127" s="90">
        <f t="shared" si="75"/>
        <v>1106</v>
      </c>
      <c r="CV127" s="90">
        <f t="shared" si="75"/>
        <v>0</v>
      </c>
      <c r="CW127" s="88"/>
      <c r="CX127" s="90">
        <f t="shared" si="75"/>
        <v>0</v>
      </c>
      <c r="CY127" s="90">
        <f t="shared" si="75"/>
        <v>0</v>
      </c>
      <c r="CZ127" s="90">
        <f t="shared" si="75"/>
        <v>0</v>
      </c>
      <c r="DA127" s="88"/>
      <c r="DB127" s="90">
        <f t="shared" si="75"/>
        <v>0</v>
      </c>
      <c r="DC127" s="90">
        <f t="shared" si="75"/>
        <v>0</v>
      </c>
      <c r="DD127" s="90">
        <f t="shared" si="75"/>
        <v>0</v>
      </c>
      <c r="DE127" s="88"/>
      <c r="DF127" s="90">
        <f t="shared" si="75"/>
        <v>1895.9190000000001</v>
      </c>
      <c r="DG127" s="90">
        <f t="shared" si="75"/>
        <v>1355.952</v>
      </c>
      <c r="DH127" s="90">
        <f t="shared" si="75"/>
        <v>0</v>
      </c>
      <c r="DI127" s="88"/>
      <c r="DJ127" s="90">
        <f t="shared" si="75"/>
        <v>0</v>
      </c>
      <c r="DK127" s="90">
        <f t="shared" si="75"/>
        <v>0</v>
      </c>
      <c r="DL127" s="90">
        <f t="shared" si="75"/>
        <v>0</v>
      </c>
      <c r="DM127" s="90">
        <f t="shared" si="75"/>
        <v>0</v>
      </c>
      <c r="DN127" s="90">
        <f>DN45</f>
        <v>0</v>
      </c>
      <c r="DO127" s="90">
        <f>DO45</f>
        <v>0</v>
      </c>
      <c r="DP127" s="88"/>
      <c r="DQ127" s="90">
        <f t="shared" ref="DQ127:DS128" si="76">DQ45</f>
        <v>0</v>
      </c>
      <c r="DR127" s="90">
        <f t="shared" si="76"/>
        <v>0</v>
      </c>
      <c r="DS127" s="90">
        <f t="shared" si="76"/>
        <v>0</v>
      </c>
      <c r="DT127" s="88"/>
      <c r="DU127" s="90">
        <f>DU45</f>
        <v>7172.2960000000003</v>
      </c>
      <c r="DV127" s="90">
        <f>DV45</f>
        <v>6131.3</v>
      </c>
      <c r="FV127" s="90">
        <f t="shared" ref="FV127:HX128" si="77">FV45</f>
        <v>0</v>
      </c>
      <c r="FW127" s="90">
        <f t="shared" si="77"/>
        <v>0</v>
      </c>
      <c r="FX127" s="90">
        <f t="shared" si="77"/>
        <v>0</v>
      </c>
      <c r="FY127" s="90">
        <f t="shared" si="77"/>
        <v>0</v>
      </c>
      <c r="FZ127" s="90">
        <f t="shared" si="77"/>
        <v>0</v>
      </c>
      <c r="GA127" s="90">
        <f t="shared" si="77"/>
        <v>0</v>
      </c>
      <c r="GB127" s="90">
        <f t="shared" si="77"/>
        <v>0</v>
      </c>
      <c r="GC127" s="90">
        <f t="shared" si="77"/>
        <v>0</v>
      </c>
      <c r="GD127" s="90">
        <f t="shared" si="77"/>
        <v>0</v>
      </c>
      <c r="GE127" s="90">
        <f t="shared" si="77"/>
        <v>0</v>
      </c>
      <c r="GF127" s="90">
        <f t="shared" si="77"/>
        <v>0</v>
      </c>
      <c r="GG127" s="90">
        <f t="shared" si="77"/>
        <v>0</v>
      </c>
      <c r="GH127" s="90">
        <f t="shared" si="77"/>
        <v>0</v>
      </c>
      <c r="GI127" s="90">
        <f t="shared" si="77"/>
        <v>0</v>
      </c>
      <c r="GJ127" s="90">
        <f t="shared" si="77"/>
        <v>0</v>
      </c>
      <c r="GK127" s="90">
        <f t="shared" si="77"/>
        <v>0</v>
      </c>
      <c r="GL127" s="90">
        <f t="shared" si="77"/>
        <v>0</v>
      </c>
      <c r="GM127" s="90">
        <f t="shared" si="77"/>
        <v>0</v>
      </c>
      <c r="GN127" s="90">
        <f t="shared" si="77"/>
        <v>0</v>
      </c>
      <c r="GO127" s="90">
        <f t="shared" si="77"/>
        <v>0</v>
      </c>
      <c r="GP127" s="90">
        <f t="shared" si="77"/>
        <v>0</v>
      </c>
      <c r="GQ127" s="90">
        <f t="shared" si="77"/>
        <v>0</v>
      </c>
      <c r="GR127" s="90">
        <f t="shared" si="77"/>
        <v>0</v>
      </c>
      <c r="GS127" s="90">
        <f t="shared" si="77"/>
        <v>0</v>
      </c>
      <c r="GT127" s="90">
        <f t="shared" si="77"/>
        <v>0</v>
      </c>
      <c r="GU127" s="90">
        <f t="shared" si="77"/>
        <v>0</v>
      </c>
      <c r="GV127" s="90">
        <f t="shared" si="77"/>
        <v>0</v>
      </c>
      <c r="GW127" s="90">
        <f t="shared" si="77"/>
        <v>0</v>
      </c>
      <c r="GX127" s="90">
        <f t="shared" si="77"/>
        <v>0</v>
      </c>
      <c r="GY127" s="90">
        <f t="shared" si="77"/>
        <v>0</v>
      </c>
      <c r="GZ127" s="90">
        <f t="shared" si="77"/>
        <v>0</v>
      </c>
      <c r="HA127" s="90">
        <f t="shared" si="77"/>
        <v>0</v>
      </c>
      <c r="HB127" s="90">
        <f t="shared" si="77"/>
        <v>0</v>
      </c>
      <c r="HC127" s="90">
        <f t="shared" si="77"/>
        <v>0</v>
      </c>
      <c r="HD127" s="90">
        <f t="shared" si="77"/>
        <v>0</v>
      </c>
      <c r="HE127" s="90">
        <f t="shared" si="77"/>
        <v>0</v>
      </c>
      <c r="HF127" s="90">
        <f t="shared" si="77"/>
        <v>0</v>
      </c>
      <c r="HG127" s="90">
        <f t="shared" si="77"/>
        <v>0</v>
      </c>
      <c r="HH127" s="90">
        <f t="shared" si="77"/>
        <v>0</v>
      </c>
      <c r="HI127" s="90">
        <f t="shared" si="77"/>
        <v>0</v>
      </c>
      <c r="HJ127" s="90">
        <f t="shared" si="77"/>
        <v>0</v>
      </c>
      <c r="HK127" s="90">
        <f t="shared" si="77"/>
        <v>0</v>
      </c>
      <c r="HL127" s="90">
        <f t="shared" si="77"/>
        <v>0</v>
      </c>
      <c r="HM127" s="90">
        <f t="shared" si="77"/>
        <v>0</v>
      </c>
      <c r="HN127" s="90">
        <f t="shared" si="77"/>
        <v>0</v>
      </c>
      <c r="HO127" s="90">
        <f t="shared" si="77"/>
        <v>0</v>
      </c>
      <c r="HP127" s="90">
        <f t="shared" si="77"/>
        <v>0</v>
      </c>
      <c r="HQ127" s="90">
        <f t="shared" si="77"/>
        <v>0</v>
      </c>
      <c r="HR127" s="90">
        <f t="shared" si="77"/>
        <v>0</v>
      </c>
      <c r="HS127" s="90">
        <f t="shared" si="77"/>
        <v>0</v>
      </c>
      <c r="HT127" s="90">
        <f t="shared" si="77"/>
        <v>0</v>
      </c>
      <c r="HU127" s="90">
        <f t="shared" si="77"/>
        <v>0</v>
      </c>
      <c r="HV127" s="90">
        <f t="shared" si="77"/>
        <v>0</v>
      </c>
      <c r="HW127" s="90">
        <f t="shared" si="77"/>
        <v>0</v>
      </c>
      <c r="HX127" s="90">
        <f t="shared" si="77"/>
        <v>0</v>
      </c>
    </row>
    <row r="128" spans="1:232" ht="12.75" customHeight="1" x14ac:dyDescent="0.2">
      <c r="A128" s="85"/>
      <c r="B128" s="175" t="s">
        <v>304</v>
      </c>
      <c r="C128" s="91"/>
      <c r="D128" s="92"/>
      <c r="E128" s="90">
        <f t="shared" si="73"/>
        <v>75.177000000000007</v>
      </c>
      <c r="F128" s="90">
        <f t="shared" si="73"/>
        <v>0</v>
      </c>
      <c r="G128" s="90">
        <f t="shared" si="73"/>
        <v>0</v>
      </c>
      <c r="H128" s="88"/>
      <c r="I128" s="90">
        <f t="shared" si="73"/>
        <v>0</v>
      </c>
      <c r="J128" s="90">
        <f t="shared" si="73"/>
        <v>0</v>
      </c>
      <c r="K128" s="90">
        <f t="shared" si="73"/>
        <v>0</v>
      </c>
      <c r="L128" s="88"/>
      <c r="M128" s="90">
        <f t="shared" si="73"/>
        <v>696</v>
      </c>
      <c r="N128" s="90">
        <f t="shared" si="73"/>
        <v>707</v>
      </c>
      <c r="O128" s="90">
        <f t="shared" si="73"/>
        <v>0</v>
      </c>
      <c r="P128" s="88"/>
      <c r="Q128" s="90">
        <f t="shared" si="73"/>
        <v>216</v>
      </c>
      <c r="R128" s="90">
        <f t="shared" si="73"/>
        <v>100.001</v>
      </c>
      <c r="S128" s="90">
        <f t="shared" si="73"/>
        <v>61.597999999999999</v>
      </c>
      <c r="T128" s="90">
        <f t="shared" si="73"/>
        <v>0</v>
      </c>
      <c r="U128" s="88"/>
      <c r="V128" s="90">
        <f t="shared" si="73"/>
        <v>8378</v>
      </c>
      <c r="W128" s="90">
        <f t="shared" si="73"/>
        <v>4804</v>
      </c>
      <c r="X128" s="90">
        <f t="shared" si="73"/>
        <v>0</v>
      </c>
      <c r="Y128" s="88"/>
      <c r="Z128" s="90">
        <f t="shared" si="73"/>
        <v>185</v>
      </c>
      <c r="AA128" s="90">
        <f t="shared" si="73"/>
        <v>185</v>
      </c>
      <c r="AB128" s="90">
        <f t="shared" si="73"/>
        <v>0</v>
      </c>
      <c r="AC128" s="88"/>
      <c r="AD128" s="90">
        <f t="shared" si="73"/>
        <v>2143.431</v>
      </c>
      <c r="AE128" s="90">
        <f t="shared" si="73"/>
        <v>1520.5509999999999</v>
      </c>
      <c r="AF128" s="90">
        <f t="shared" si="73"/>
        <v>0</v>
      </c>
      <c r="AG128" s="88"/>
      <c r="AH128" s="90">
        <f t="shared" si="73"/>
        <v>6934</v>
      </c>
      <c r="AI128" s="90">
        <f t="shared" si="73"/>
        <v>8660</v>
      </c>
      <c r="AJ128" s="90">
        <f t="shared" si="73"/>
        <v>0</v>
      </c>
      <c r="AK128" s="88"/>
      <c r="AL128" s="90">
        <f t="shared" si="73"/>
        <v>0</v>
      </c>
      <c r="AM128" s="90">
        <f t="shared" si="73"/>
        <v>0</v>
      </c>
      <c r="AN128" s="90">
        <f t="shared" si="73"/>
        <v>0</v>
      </c>
      <c r="AO128" s="88"/>
      <c r="AP128" s="90">
        <f t="shared" si="73"/>
        <v>0</v>
      </c>
      <c r="AQ128" s="90">
        <f t="shared" si="73"/>
        <v>0</v>
      </c>
      <c r="AR128" s="90">
        <f t="shared" si="73"/>
        <v>0</v>
      </c>
      <c r="AS128" s="88"/>
      <c r="AT128" s="90">
        <f t="shared" si="73"/>
        <v>4056.0540000000001</v>
      </c>
      <c r="AU128" s="90">
        <f t="shared" si="73"/>
        <v>1912.1669999999999</v>
      </c>
      <c r="AV128" s="90">
        <f t="shared" si="73"/>
        <v>0</v>
      </c>
      <c r="AW128" s="88"/>
      <c r="AX128" s="90">
        <f t="shared" si="73"/>
        <v>2901</v>
      </c>
      <c r="AY128" s="90">
        <f t="shared" si="73"/>
        <v>2901</v>
      </c>
      <c r="AZ128" s="90">
        <f t="shared" si="73"/>
        <v>0</v>
      </c>
      <c r="BA128" s="88"/>
      <c r="BB128" s="90">
        <f t="shared" si="73"/>
        <v>0</v>
      </c>
      <c r="BC128" s="90">
        <f t="shared" si="73"/>
        <v>0</v>
      </c>
      <c r="BD128" s="90">
        <f t="shared" si="73"/>
        <v>0</v>
      </c>
      <c r="BE128" s="88"/>
      <c r="BF128" s="90">
        <f t="shared" si="73"/>
        <v>0</v>
      </c>
      <c r="BG128" s="90">
        <f t="shared" si="73"/>
        <v>0</v>
      </c>
      <c r="BH128" s="90">
        <f t="shared" si="73"/>
        <v>0</v>
      </c>
      <c r="BI128" s="88"/>
      <c r="BJ128" s="90">
        <f t="shared" si="73"/>
        <v>0</v>
      </c>
      <c r="BK128" s="90">
        <f t="shared" si="73"/>
        <v>0</v>
      </c>
      <c r="BL128" s="90">
        <f t="shared" si="73"/>
        <v>0</v>
      </c>
      <c r="BM128" s="88"/>
      <c r="BN128" s="90">
        <f t="shared" si="73"/>
        <v>159.352</v>
      </c>
      <c r="BO128" s="90">
        <f t="shared" si="73"/>
        <v>263</v>
      </c>
      <c r="BP128" s="90">
        <f t="shared" si="73"/>
        <v>0</v>
      </c>
      <c r="BQ128" s="88"/>
      <c r="BR128" s="90">
        <f t="shared" si="74"/>
        <v>123.57</v>
      </c>
      <c r="BS128" s="90">
        <f t="shared" si="74"/>
        <v>183.084</v>
      </c>
      <c r="BT128" s="90"/>
      <c r="BU128" s="88"/>
      <c r="BV128" s="90">
        <f>BV46</f>
        <v>0</v>
      </c>
      <c r="BW128" s="90"/>
      <c r="BX128" s="90">
        <f t="shared" si="75"/>
        <v>0</v>
      </c>
      <c r="BY128" s="88"/>
      <c r="BZ128" s="90">
        <f t="shared" si="75"/>
        <v>0</v>
      </c>
      <c r="CA128" s="90">
        <f t="shared" si="75"/>
        <v>0</v>
      </c>
      <c r="CB128" s="90">
        <f t="shared" si="75"/>
        <v>0</v>
      </c>
      <c r="CC128" s="88"/>
      <c r="CD128" s="90">
        <f t="shared" si="75"/>
        <v>6777.0910000000003</v>
      </c>
      <c r="CE128" s="90">
        <f t="shared" si="75"/>
        <v>5303.8510000000006</v>
      </c>
      <c r="CF128" s="90">
        <f t="shared" si="75"/>
        <v>0</v>
      </c>
      <c r="CG128" s="88"/>
      <c r="CH128" s="90">
        <f t="shared" si="75"/>
        <v>0</v>
      </c>
      <c r="CI128" s="90">
        <f t="shared" si="75"/>
        <v>0</v>
      </c>
      <c r="CJ128" s="90">
        <f t="shared" si="75"/>
        <v>0</v>
      </c>
      <c r="CK128" s="88"/>
      <c r="CL128" s="90">
        <f t="shared" si="75"/>
        <v>0</v>
      </c>
      <c r="CM128" s="90">
        <f t="shared" si="75"/>
        <v>0</v>
      </c>
      <c r="CN128" s="90">
        <f t="shared" si="75"/>
        <v>0</v>
      </c>
      <c r="CO128" s="88"/>
      <c r="CP128" s="90">
        <f t="shared" si="75"/>
        <v>258.363</v>
      </c>
      <c r="CQ128" s="90">
        <f t="shared" si="75"/>
        <v>255.68</v>
      </c>
      <c r="CR128" s="90">
        <f t="shared" si="75"/>
        <v>0</v>
      </c>
      <c r="CS128" s="88"/>
      <c r="CT128" s="90">
        <f t="shared" si="75"/>
        <v>2011</v>
      </c>
      <c r="CU128" s="90">
        <f t="shared" si="75"/>
        <v>1106</v>
      </c>
      <c r="CV128" s="90">
        <f t="shared" si="75"/>
        <v>0</v>
      </c>
      <c r="CW128" s="88"/>
      <c r="CX128" s="90">
        <f t="shared" si="75"/>
        <v>0</v>
      </c>
      <c r="CY128" s="90">
        <f t="shared" si="75"/>
        <v>0</v>
      </c>
      <c r="CZ128" s="90">
        <f t="shared" si="75"/>
        <v>0</v>
      </c>
      <c r="DA128" s="88"/>
      <c r="DB128" s="90">
        <f t="shared" si="75"/>
        <v>0</v>
      </c>
      <c r="DC128" s="90">
        <f t="shared" si="75"/>
        <v>0</v>
      </c>
      <c r="DD128" s="90">
        <f t="shared" si="75"/>
        <v>0</v>
      </c>
      <c r="DE128" s="88"/>
      <c r="DF128" s="90">
        <f t="shared" si="75"/>
        <v>1895.9190000000001</v>
      </c>
      <c r="DG128" s="90">
        <f t="shared" si="75"/>
        <v>1355.952</v>
      </c>
      <c r="DH128" s="90">
        <f t="shared" si="75"/>
        <v>0</v>
      </c>
      <c r="DI128" s="88"/>
      <c r="DJ128" s="90">
        <f t="shared" si="75"/>
        <v>0</v>
      </c>
      <c r="DK128" s="90">
        <f t="shared" si="75"/>
        <v>0</v>
      </c>
      <c r="DL128" s="90">
        <f t="shared" si="75"/>
        <v>0</v>
      </c>
      <c r="DM128" s="90">
        <f t="shared" si="75"/>
        <v>0</v>
      </c>
      <c r="DN128" s="90">
        <f>DN46</f>
        <v>0</v>
      </c>
      <c r="DO128" s="90">
        <f>DO46</f>
        <v>0</v>
      </c>
      <c r="DP128" s="88"/>
      <c r="DQ128" s="90">
        <f t="shared" si="76"/>
        <v>0</v>
      </c>
      <c r="DR128" s="90">
        <f t="shared" si="76"/>
        <v>0</v>
      </c>
      <c r="DS128" s="90">
        <f t="shared" si="76"/>
        <v>0</v>
      </c>
      <c r="DT128" s="88"/>
      <c r="DU128" s="90">
        <f>DU46</f>
        <v>7495</v>
      </c>
      <c r="DV128" s="90">
        <f>DV46</f>
        <v>6556.3</v>
      </c>
      <c r="FV128" s="90">
        <f t="shared" si="77"/>
        <v>0</v>
      </c>
      <c r="FW128" s="90">
        <f t="shared" si="77"/>
        <v>0</v>
      </c>
      <c r="FX128" s="90">
        <f t="shared" si="77"/>
        <v>0</v>
      </c>
      <c r="FY128" s="90">
        <f t="shared" si="77"/>
        <v>0</v>
      </c>
      <c r="FZ128" s="90">
        <f t="shared" si="77"/>
        <v>0</v>
      </c>
      <c r="GA128" s="90">
        <f t="shared" si="77"/>
        <v>0</v>
      </c>
      <c r="GB128" s="90">
        <f t="shared" si="77"/>
        <v>0</v>
      </c>
      <c r="GC128" s="90">
        <f t="shared" si="77"/>
        <v>0</v>
      </c>
      <c r="GD128" s="90">
        <f t="shared" si="77"/>
        <v>0</v>
      </c>
      <c r="GE128" s="90">
        <f t="shared" si="77"/>
        <v>0</v>
      </c>
      <c r="GF128" s="90">
        <f t="shared" si="77"/>
        <v>0</v>
      </c>
      <c r="GG128" s="90">
        <f t="shared" si="77"/>
        <v>0</v>
      </c>
      <c r="GH128" s="90">
        <f t="shared" si="77"/>
        <v>0</v>
      </c>
      <c r="GI128" s="90">
        <f t="shared" si="77"/>
        <v>0</v>
      </c>
      <c r="GJ128" s="90">
        <f t="shared" si="77"/>
        <v>0</v>
      </c>
      <c r="GK128" s="90">
        <f t="shared" si="77"/>
        <v>0</v>
      </c>
      <c r="GL128" s="90">
        <f t="shared" si="77"/>
        <v>0</v>
      </c>
      <c r="GM128" s="90">
        <f t="shared" si="77"/>
        <v>0</v>
      </c>
      <c r="GN128" s="90">
        <f t="shared" si="77"/>
        <v>0</v>
      </c>
      <c r="GO128" s="90">
        <f t="shared" si="77"/>
        <v>0</v>
      </c>
      <c r="GP128" s="90">
        <f t="shared" si="77"/>
        <v>0</v>
      </c>
      <c r="GQ128" s="90">
        <f t="shared" si="77"/>
        <v>0</v>
      </c>
      <c r="GR128" s="90">
        <f t="shared" si="77"/>
        <v>0</v>
      </c>
      <c r="GS128" s="90">
        <f t="shared" si="77"/>
        <v>0</v>
      </c>
      <c r="GT128" s="90">
        <f t="shared" si="77"/>
        <v>0</v>
      </c>
      <c r="GU128" s="90">
        <f t="shared" si="77"/>
        <v>0</v>
      </c>
      <c r="GV128" s="90">
        <f t="shared" si="77"/>
        <v>0</v>
      </c>
      <c r="GW128" s="90">
        <f t="shared" si="77"/>
        <v>0</v>
      </c>
      <c r="GX128" s="90">
        <f t="shared" si="77"/>
        <v>0</v>
      </c>
      <c r="GY128" s="90">
        <f t="shared" si="77"/>
        <v>0</v>
      </c>
      <c r="GZ128" s="90">
        <f t="shared" si="77"/>
        <v>0</v>
      </c>
      <c r="HA128" s="90">
        <f t="shared" si="77"/>
        <v>0</v>
      </c>
      <c r="HB128" s="90">
        <f t="shared" si="77"/>
        <v>0</v>
      </c>
      <c r="HC128" s="90">
        <f t="shared" si="77"/>
        <v>0</v>
      </c>
      <c r="HD128" s="90">
        <f t="shared" si="77"/>
        <v>0</v>
      </c>
      <c r="HE128" s="90">
        <f t="shared" si="77"/>
        <v>0</v>
      </c>
      <c r="HF128" s="90">
        <f t="shared" si="77"/>
        <v>0</v>
      </c>
      <c r="HG128" s="90">
        <f t="shared" si="77"/>
        <v>0</v>
      </c>
      <c r="HH128" s="90">
        <f t="shared" si="77"/>
        <v>0</v>
      </c>
      <c r="HI128" s="90">
        <f t="shared" si="77"/>
        <v>0</v>
      </c>
      <c r="HJ128" s="90">
        <f t="shared" si="77"/>
        <v>0</v>
      </c>
      <c r="HK128" s="90">
        <f t="shared" si="77"/>
        <v>0</v>
      </c>
      <c r="HL128" s="90">
        <f t="shared" si="77"/>
        <v>0</v>
      </c>
      <c r="HM128" s="90">
        <f t="shared" si="77"/>
        <v>0</v>
      </c>
      <c r="HN128" s="90">
        <f t="shared" si="77"/>
        <v>0</v>
      </c>
      <c r="HO128" s="90">
        <f t="shared" si="77"/>
        <v>0</v>
      </c>
      <c r="HP128" s="90">
        <f t="shared" si="77"/>
        <v>0</v>
      </c>
      <c r="HQ128" s="90">
        <f t="shared" si="77"/>
        <v>0</v>
      </c>
      <c r="HR128" s="90">
        <f t="shared" si="77"/>
        <v>0</v>
      </c>
      <c r="HS128" s="90">
        <f t="shared" si="77"/>
        <v>0</v>
      </c>
      <c r="HT128" s="90">
        <f t="shared" si="77"/>
        <v>0</v>
      </c>
      <c r="HU128" s="90">
        <f t="shared" si="77"/>
        <v>0</v>
      </c>
      <c r="HV128" s="90">
        <f t="shared" si="77"/>
        <v>0</v>
      </c>
      <c r="HW128" s="90">
        <f t="shared" si="77"/>
        <v>0</v>
      </c>
      <c r="HX128" s="90">
        <f t="shared" si="77"/>
        <v>0</v>
      </c>
    </row>
    <row r="129" spans="1:232" ht="12.75" customHeight="1" x14ac:dyDescent="0.2">
      <c r="A129" s="74"/>
      <c r="B129" s="175" t="s">
        <v>305</v>
      </c>
      <c r="E129" s="55">
        <f>(E45-F45)/E142</f>
        <v>112.20447761194031</v>
      </c>
      <c r="F129" s="120"/>
      <c r="I129" s="55">
        <f>(I45-J45)/I142</f>
        <v>0</v>
      </c>
      <c r="J129" s="120"/>
      <c r="M129" s="55">
        <f>(M45-N45)/M142</f>
        <v>0</v>
      </c>
      <c r="N129" s="120"/>
      <c r="Q129" s="55">
        <f>(Q45-R45)/Q142</f>
        <v>115.999</v>
      </c>
      <c r="R129" s="55">
        <f>(R45-S45)/R142</f>
        <v>93.665853658536605</v>
      </c>
      <c r="S129" s="120"/>
      <c r="V129" s="55">
        <f>(V45-W45)/V142</f>
        <v>3574</v>
      </c>
      <c r="W129" s="120"/>
      <c r="Z129" s="55">
        <f>(Z45-AA45)/Z142</f>
        <v>0</v>
      </c>
      <c r="AA129" s="120"/>
      <c r="AD129" s="55">
        <f>(AD45-AE45)/AD142</f>
        <v>622.88000000000011</v>
      </c>
      <c r="AE129" s="120"/>
      <c r="AH129" s="55">
        <f>(AH45-AI45)/AH142</f>
        <v>-424</v>
      </c>
      <c r="AI129" s="120"/>
      <c r="AL129" s="55">
        <f>(AL45-AM45)/AL142</f>
        <v>0</v>
      </c>
      <c r="AM129" s="120"/>
      <c r="AP129" s="55">
        <f>(AP45-AQ45)/AP142</f>
        <v>0</v>
      </c>
      <c r="AQ129" s="120"/>
      <c r="AT129" s="55">
        <f>(AT45-AU45)/AT142</f>
        <v>2143.8870000000002</v>
      </c>
      <c r="AU129" s="120"/>
      <c r="AX129" s="55">
        <f>(AX45-AY45)/AX142</f>
        <v>0</v>
      </c>
      <c r="AY129" s="120"/>
      <c r="BB129" s="55">
        <f>(BB45-BC45)/BB142</f>
        <v>0</v>
      </c>
      <c r="BC129" s="120"/>
      <c r="BF129" s="55" t="e">
        <f>(BF45-BG45)/BF142</f>
        <v>#DIV/0!</v>
      </c>
      <c r="BG129" s="120"/>
      <c r="BJ129" s="55">
        <f>(BJ45-BK45)/BJ142</f>
        <v>0</v>
      </c>
      <c r="BK129" s="120"/>
      <c r="BN129" s="55">
        <f>(BN45-BO45)/BN142</f>
        <v>-13.195</v>
      </c>
      <c r="BO129" s="120"/>
      <c r="BR129" s="55">
        <f>(BR45-BS45)/BR142</f>
        <v>1.2389999999999901</v>
      </c>
      <c r="BS129" s="120"/>
      <c r="BV129" s="55">
        <f>(BV45-BW45)/BV142</f>
        <v>-10.760999999999996</v>
      </c>
      <c r="BW129" s="120"/>
      <c r="BZ129" s="55">
        <f>(BZ45-CA45)/BZ142</f>
        <v>0</v>
      </c>
      <c r="CA129" s="120"/>
      <c r="CD129" s="55">
        <f>(CD45-CE45)/CD142</f>
        <v>623.55299999999988</v>
      </c>
      <c r="CE129" s="120"/>
      <c r="CH129" s="120"/>
      <c r="CI129" s="120"/>
      <c r="CL129" s="55">
        <f>(CL45-CM45)/CL142</f>
        <v>0</v>
      </c>
      <c r="CM129" s="120"/>
      <c r="CP129" s="55">
        <f>(CP45-CQ45)/CP142</f>
        <v>-29.999999999999993</v>
      </c>
      <c r="CQ129" s="120"/>
      <c r="CT129" s="55">
        <f>(CT45-CU45)/CT142</f>
        <v>588</v>
      </c>
      <c r="CU129" s="120"/>
      <c r="CX129" s="55">
        <f>(CX45-CY45)/CX142</f>
        <v>0</v>
      </c>
      <c r="CY129" s="120"/>
      <c r="DB129" s="55" t="e">
        <f>(DB45-DC45)/DB142</f>
        <v>#DIV/0!</v>
      </c>
      <c r="DC129" s="120"/>
      <c r="DF129" s="55">
        <f>(DF45-DG45)/DF142</f>
        <v>539.9670000000001</v>
      </c>
      <c r="DG129" s="120"/>
      <c r="DJ129" s="55">
        <f>(DJ45-DK45)/DJ142</f>
        <v>0</v>
      </c>
      <c r="DK129" s="55">
        <f>(DK45-DL45)/DK142</f>
        <v>0</v>
      </c>
      <c r="DL129" s="55">
        <f>(DL45-DM45)/DL142</f>
        <v>0</v>
      </c>
      <c r="DM129" s="55">
        <f>(DM45-DN45)/DM142</f>
        <v>0</v>
      </c>
      <c r="DN129" s="120"/>
      <c r="DQ129" s="55">
        <f>(DQ45-DR45)/DQ142</f>
        <v>0</v>
      </c>
      <c r="DR129" s="120"/>
      <c r="DU129" s="55">
        <f>(DU45-DV45)/DU142</f>
        <v>1040.9960000000001</v>
      </c>
      <c r="DV129" s="120"/>
    </row>
    <row r="130" spans="1:232" ht="12.75" customHeight="1" x14ac:dyDescent="0.2">
      <c r="A130" s="74"/>
      <c r="B130" s="175" t="s">
        <v>306</v>
      </c>
      <c r="E130" s="55">
        <f>(E46-F46)/E142</f>
        <v>112.20447761194031</v>
      </c>
      <c r="F130" s="55" t="e">
        <f>(F46-G46)/F142</f>
        <v>#DIV/0!</v>
      </c>
      <c r="G130" s="55" t="e">
        <f>(G46-I46)/G142</f>
        <v>#DIV/0!</v>
      </c>
      <c r="H130" s="55"/>
      <c r="I130" s="55">
        <f>(I46-J46)/I142</f>
        <v>0</v>
      </c>
      <c r="J130" s="55" t="e">
        <f>(J46-K46)/J142</f>
        <v>#DIV/0!</v>
      </c>
      <c r="K130" s="55" t="e">
        <f>(K46-M46)/K142</f>
        <v>#DIV/0!</v>
      </c>
      <c r="L130" s="55"/>
      <c r="M130" s="55">
        <f>(M46-N46)/M142</f>
        <v>-11</v>
      </c>
      <c r="N130" s="55" t="e">
        <f>(N46-O46)/N142</f>
        <v>#DIV/0!</v>
      </c>
      <c r="O130" s="55" t="e">
        <f>(O46-Q46)/O142</f>
        <v>#DIV/0!</v>
      </c>
      <c r="P130" s="55"/>
      <c r="Q130" s="55">
        <f>(Q46-R46)/Q142</f>
        <v>115.999</v>
      </c>
      <c r="R130" s="55">
        <f>(R46-S46)/R142</f>
        <v>93.665853658536605</v>
      </c>
      <c r="S130" s="55" t="e">
        <f>(S46-T46)/S142</f>
        <v>#DIV/0!</v>
      </c>
      <c r="T130" s="55" t="e">
        <f>(T46-V46)/T142</f>
        <v>#DIV/0!</v>
      </c>
      <c r="U130" s="55"/>
      <c r="V130" s="55">
        <f>(V46-W46)/V142</f>
        <v>3574</v>
      </c>
      <c r="W130" s="55" t="e">
        <f>(W46-X46)/W142</f>
        <v>#DIV/0!</v>
      </c>
      <c r="X130" s="55" t="e">
        <f>(X46-Z46)/X142</f>
        <v>#DIV/0!</v>
      </c>
      <c r="Y130" s="55"/>
      <c r="Z130" s="55">
        <f>(Z46-AA46)/Z142</f>
        <v>0</v>
      </c>
      <c r="AA130" s="55" t="e">
        <f>(AA46-AB46)/AA142</f>
        <v>#DIV/0!</v>
      </c>
      <c r="AB130" s="55" t="e">
        <f>(AB46-AD46)/AB142</f>
        <v>#DIV/0!</v>
      </c>
      <c r="AC130" s="55"/>
      <c r="AD130" s="55">
        <f>(AD46-AE46)/AD142</f>
        <v>622.88000000000011</v>
      </c>
      <c r="AE130" s="55" t="e">
        <f>(AE46-AF46)/AE142</f>
        <v>#DIV/0!</v>
      </c>
      <c r="AF130" s="55" t="e">
        <f>(AF46-AH46)/AF142</f>
        <v>#DIV/0!</v>
      </c>
      <c r="AG130" s="55"/>
      <c r="AH130" s="55">
        <f>(AH46-AI46)/AH142</f>
        <v>-1726</v>
      </c>
      <c r="AI130" s="55" t="e">
        <f>(AI46-AJ46)/AI142</f>
        <v>#DIV/0!</v>
      </c>
      <c r="AJ130" s="55" t="e">
        <f>(AJ46-AL46)/AJ142</f>
        <v>#DIV/0!</v>
      </c>
      <c r="AK130" s="55"/>
      <c r="AL130" s="55">
        <f>(AL46-AM46)/AL142</f>
        <v>0</v>
      </c>
      <c r="AM130" s="55" t="e">
        <f>(AM46-AN46)/AM142</f>
        <v>#DIV/0!</v>
      </c>
      <c r="AN130" s="55" t="e">
        <f>(AN46-AP46)/AN142</f>
        <v>#DIV/0!</v>
      </c>
      <c r="AO130" s="55"/>
      <c r="AP130" s="55">
        <f>(AP46-AQ46)/AP142</f>
        <v>0</v>
      </c>
      <c r="AQ130" s="55" t="e">
        <f>(AQ46-AR46)/AQ142</f>
        <v>#DIV/0!</v>
      </c>
      <c r="AR130" s="55" t="e">
        <f>(AR46-AT46)/AR142</f>
        <v>#DIV/0!</v>
      </c>
      <c r="AS130" s="55"/>
      <c r="AT130" s="55">
        <f>(AT46-AU46)/AT142</f>
        <v>2143.8870000000002</v>
      </c>
      <c r="AU130" s="55" t="e">
        <f>(AU46-AV46)/AU142</f>
        <v>#DIV/0!</v>
      </c>
      <c r="AV130" s="55" t="e">
        <f>(AV46-AX46)/AV142</f>
        <v>#DIV/0!</v>
      </c>
      <c r="AW130" s="55"/>
      <c r="AX130" s="55">
        <f>(AX46-AY46)/AX142</f>
        <v>0</v>
      </c>
      <c r="AY130" s="55" t="e">
        <f>(AY46-AZ46)/AY142</f>
        <v>#DIV/0!</v>
      </c>
      <c r="AZ130" s="55" t="e">
        <f>(AZ46-BB46)/AZ142</f>
        <v>#DIV/0!</v>
      </c>
      <c r="BA130" s="55"/>
      <c r="BB130" s="55">
        <f>(BB46-BC46)/BB142</f>
        <v>0</v>
      </c>
      <c r="BC130" s="55" t="e">
        <f>(BC46-BD46)/BC142</f>
        <v>#DIV/0!</v>
      </c>
      <c r="BD130" s="55" t="e">
        <f>(BD46-BF46)/BD142</f>
        <v>#DIV/0!</v>
      </c>
      <c r="BE130" s="55"/>
      <c r="BF130" s="55" t="e">
        <f>(BF46-BG46)/BF142</f>
        <v>#DIV/0!</v>
      </c>
      <c r="BG130" s="55" t="e">
        <f>(BG46-BH46)/BG142</f>
        <v>#DIV/0!</v>
      </c>
      <c r="BH130" s="55" t="e">
        <f>(BH46-BJ46)/BH142</f>
        <v>#DIV/0!</v>
      </c>
      <c r="BI130" s="55"/>
      <c r="BJ130" s="55">
        <f>(BJ46-BK46)/BJ142</f>
        <v>0</v>
      </c>
      <c r="BK130" s="55" t="e">
        <f>(BK46-BL46)/BK142</f>
        <v>#DIV/0!</v>
      </c>
      <c r="BL130" s="55" t="e">
        <f>(BL46-BN46)/BL142</f>
        <v>#DIV/0!</v>
      </c>
      <c r="BM130" s="55"/>
      <c r="BN130" s="55">
        <f>(BN46-BO46)/BN142</f>
        <v>-103.648</v>
      </c>
      <c r="BO130" s="55" t="e">
        <f>(BO46-BP46)/BO142</f>
        <v>#DIV/0!</v>
      </c>
      <c r="BP130" s="55" t="e">
        <f>(BP46-BR46)/BP142</f>
        <v>#DIV/0!</v>
      </c>
      <c r="BQ130" s="55"/>
      <c r="BR130" s="55">
        <f>(BR46-BS46)/BR142</f>
        <v>-59.51400000000001</v>
      </c>
      <c r="BS130" s="55" t="e">
        <f>(BS46-BX46)/BS142</f>
        <v>#DIV/0!</v>
      </c>
      <c r="BT130" s="55"/>
      <c r="BU130" s="55"/>
      <c r="BV130" s="55">
        <f>(BV46-BW46)/BV142</f>
        <v>0</v>
      </c>
      <c r="BW130" s="55"/>
      <c r="BX130" s="55" t="e">
        <f>(BX46-BZ46)/BX142</f>
        <v>#DIV/0!</v>
      </c>
      <c r="BY130" s="55"/>
      <c r="BZ130" s="55">
        <f>(BZ46-CA46)/BZ142</f>
        <v>0</v>
      </c>
      <c r="CA130" s="55" t="e">
        <f>(CA46-CB46)/CA142</f>
        <v>#DIV/0!</v>
      </c>
      <c r="CB130" s="55" t="e">
        <f>(CB46-CD46)/CB142</f>
        <v>#DIV/0!</v>
      </c>
      <c r="CC130" s="55"/>
      <c r="CD130" s="55">
        <f>(CD46-CE46)/CD142</f>
        <v>1473.2399999999998</v>
      </c>
      <c r="CE130" s="55" t="e">
        <f>(CE46-CF46)/CE142</f>
        <v>#DIV/0!</v>
      </c>
      <c r="CF130" s="55" t="e">
        <f>(CF46-CH46)/CF142</f>
        <v>#DIV/0!</v>
      </c>
      <c r="CG130" s="55"/>
      <c r="CH130" s="55" t="e">
        <f>(CH46-CI46)/CH142</f>
        <v>#DIV/0!</v>
      </c>
      <c r="CI130" s="55" t="e">
        <f>(CI46-CJ46)/CI142</f>
        <v>#DIV/0!</v>
      </c>
      <c r="CJ130" s="55" t="e">
        <f>(CJ46-CL46)/CJ142</f>
        <v>#DIV/0!</v>
      </c>
      <c r="CK130" s="55"/>
      <c r="CL130" s="55">
        <f>(CL46-CM46)/CL142</f>
        <v>0</v>
      </c>
      <c r="CM130" s="55" t="e">
        <f>(CM46-CN46)/CM142</f>
        <v>#DIV/0!</v>
      </c>
      <c r="CN130" s="55" t="e">
        <f>(CN46-CP46)/CN142</f>
        <v>#DIV/0!</v>
      </c>
      <c r="CO130" s="55"/>
      <c r="CP130" s="55">
        <f>(CP46-CQ46)/CP142</f>
        <v>2.6829999999999927</v>
      </c>
      <c r="CQ130" s="55" t="e">
        <f>(CQ46-CR46)/CQ142</f>
        <v>#DIV/0!</v>
      </c>
      <c r="CR130" s="55" t="e">
        <f>(CR46-CT46)/CR142</f>
        <v>#DIV/0!</v>
      </c>
      <c r="CS130" s="55"/>
      <c r="CT130" s="55">
        <f>(CT46-CU46)/CT142</f>
        <v>905</v>
      </c>
      <c r="CU130" s="55" t="e">
        <f>(CU46-CV46)/CU142</f>
        <v>#DIV/0!</v>
      </c>
      <c r="CV130" s="55" t="e">
        <f>(CV46-CX46)/CV142</f>
        <v>#DIV/0!</v>
      </c>
      <c r="CW130" s="55"/>
      <c r="CX130" s="55">
        <f>(CX46-CY46)/CX142</f>
        <v>0</v>
      </c>
      <c r="CY130" s="55" t="e">
        <f>(CY46-CZ46)/CY142</f>
        <v>#DIV/0!</v>
      </c>
      <c r="CZ130" s="55" t="e">
        <f>(CZ46-DB46)/CZ142</f>
        <v>#DIV/0!</v>
      </c>
      <c r="DA130" s="55"/>
      <c r="DB130" s="55" t="e">
        <f>(DB46-DC46)/DB142</f>
        <v>#DIV/0!</v>
      </c>
      <c r="DC130" s="55" t="e">
        <f>(DC46-DD46)/DC142</f>
        <v>#DIV/0!</v>
      </c>
      <c r="DD130" s="55" t="e">
        <f>(DD46-DF46)/DD142</f>
        <v>#DIV/0!</v>
      </c>
      <c r="DE130" s="55"/>
      <c r="DF130" s="55">
        <f>(DF46-DG46)/DF142</f>
        <v>539.9670000000001</v>
      </c>
      <c r="DG130" s="55" t="e">
        <f>(DG46-DH46)/DG142</f>
        <v>#DIV/0!</v>
      </c>
      <c r="DH130" s="55" t="e">
        <f>(DH46-DJ46)/DH142</f>
        <v>#DIV/0!</v>
      </c>
      <c r="DI130" s="55"/>
      <c r="DJ130" s="55">
        <f>(DJ46-DK46)/DJ142</f>
        <v>0</v>
      </c>
      <c r="DK130" s="55">
        <f>(DK46-DL46)/DK142</f>
        <v>0</v>
      </c>
      <c r="DL130" s="55">
        <f>(DL46-DM46)/DL142</f>
        <v>0</v>
      </c>
      <c r="DM130" s="55">
        <f>(DM46-DN46)/DM142</f>
        <v>0</v>
      </c>
      <c r="DN130" s="55" t="e">
        <f>(DN46-DO46)/DN142</f>
        <v>#DIV/0!</v>
      </c>
      <c r="DO130" s="55" t="e">
        <f>(DO46-DQ46)/DO142</f>
        <v>#DIV/0!</v>
      </c>
      <c r="DP130" s="55"/>
      <c r="DQ130" s="55">
        <f>(DQ46-DR46)/DQ142</f>
        <v>0</v>
      </c>
      <c r="DR130" s="55" t="e">
        <f>(DR46-DS46)/DR142</f>
        <v>#DIV/0!</v>
      </c>
      <c r="DS130" s="55" t="e">
        <f>(DS46-DU46)/DS142</f>
        <v>#DIV/0!</v>
      </c>
      <c r="DT130" s="55"/>
      <c r="DU130" s="55">
        <f>(DU46-DV46)/DU142</f>
        <v>938.69999999999982</v>
      </c>
      <c r="DV130" s="55" t="e">
        <f>(DV46-DW46)/DV142</f>
        <v>#DIV/0!</v>
      </c>
      <c r="FV130" s="55" t="e">
        <f t="shared" ref="FV130:HA130" si="78">(FV46-FW46)/FV142</f>
        <v>#DIV/0!</v>
      </c>
      <c r="FW130" s="55" t="e">
        <f t="shared" si="78"/>
        <v>#DIV/0!</v>
      </c>
      <c r="FX130" s="55" t="e">
        <f t="shared" si="78"/>
        <v>#DIV/0!</v>
      </c>
      <c r="FY130" s="55" t="e">
        <f t="shared" si="78"/>
        <v>#DIV/0!</v>
      </c>
      <c r="FZ130" s="55" t="e">
        <f t="shared" si="78"/>
        <v>#DIV/0!</v>
      </c>
      <c r="GA130" s="55" t="e">
        <f t="shared" si="78"/>
        <v>#DIV/0!</v>
      </c>
      <c r="GB130" s="55" t="e">
        <f t="shared" si="78"/>
        <v>#DIV/0!</v>
      </c>
      <c r="GC130" s="55" t="e">
        <f t="shared" si="78"/>
        <v>#DIV/0!</v>
      </c>
      <c r="GD130" s="55" t="e">
        <f t="shared" si="78"/>
        <v>#DIV/0!</v>
      </c>
      <c r="GE130" s="55" t="e">
        <f t="shared" si="78"/>
        <v>#DIV/0!</v>
      </c>
      <c r="GF130" s="55" t="e">
        <f t="shared" si="78"/>
        <v>#DIV/0!</v>
      </c>
      <c r="GG130" s="55" t="e">
        <f t="shared" si="78"/>
        <v>#DIV/0!</v>
      </c>
      <c r="GH130" s="55" t="e">
        <f t="shared" si="78"/>
        <v>#DIV/0!</v>
      </c>
      <c r="GI130" s="55" t="e">
        <f t="shared" si="78"/>
        <v>#DIV/0!</v>
      </c>
      <c r="GJ130" s="55" t="e">
        <f t="shared" si="78"/>
        <v>#DIV/0!</v>
      </c>
      <c r="GK130" s="55" t="e">
        <f t="shared" si="78"/>
        <v>#DIV/0!</v>
      </c>
      <c r="GL130" s="55" t="e">
        <f t="shared" si="78"/>
        <v>#DIV/0!</v>
      </c>
      <c r="GM130" s="55" t="e">
        <f t="shared" si="78"/>
        <v>#DIV/0!</v>
      </c>
      <c r="GN130" s="55" t="e">
        <f t="shared" si="78"/>
        <v>#DIV/0!</v>
      </c>
      <c r="GO130" s="55" t="e">
        <f t="shared" si="78"/>
        <v>#DIV/0!</v>
      </c>
      <c r="GP130" s="55" t="e">
        <f t="shared" si="78"/>
        <v>#DIV/0!</v>
      </c>
      <c r="GQ130" s="55" t="e">
        <f t="shared" si="78"/>
        <v>#DIV/0!</v>
      </c>
      <c r="GR130" s="55" t="e">
        <f t="shared" si="78"/>
        <v>#DIV/0!</v>
      </c>
      <c r="GS130" s="55" t="e">
        <f t="shared" si="78"/>
        <v>#DIV/0!</v>
      </c>
      <c r="GT130" s="55" t="e">
        <f t="shared" si="78"/>
        <v>#DIV/0!</v>
      </c>
      <c r="GU130" s="55" t="e">
        <f t="shared" si="78"/>
        <v>#DIV/0!</v>
      </c>
      <c r="GV130" s="55" t="e">
        <f t="shared" si="78"/>
        <v>#DIV/0!</v>
      </c>
      <c r="GW130" s="55" t="e">
        <f t="shared" si="78"/>
        <v>#DIV/0!</v>
      </c>
      <c r="GX130" s="55" t="e">
        <f t="shared" si="78"/>
        <v>#DIV/0!</v>
      </c>
      <c r="GY130" s="55" t="e">
        <f t="shared" si="78"/>
        <v>#DIV/0!</v>
      </c>
      <c r="GZ130" s="55" t="e">
        <f t="shared" si="78"/>
        <v>#DIV/0!</v>
      </c>
      <c r="HA130" s="55" t="e">
        <f t="shared" si="78"/>
        <v>#DIV/0!</v>
      </c>
      <c r="HB130" s="55" t="e">
        <f t="shared" ref="HB130:HX130" si="79">(HB46-HC46)/HB142</f>
        <v>#DIV/0!</v>
      </c>
      <c r="HC130" s="55" t="e">
        <f t="shared" si="79"/>
        <v>#DIV/0!</v>
      </c>
      <c r="HD130" s="55" t="e">
        <f t="shared" si="79"/>
        <v>#DIV/0!</v>
      </c>
      <c r="HE130" s="55" t="e">
        <f t="shared" si="79"/>
        <v>#DIV/0!</v>
      </c>
      <c r="HF130" s="55" t="e">
        <f t="shared" si="79"/>
        <v>#DIV/0!</v>
      </c>
      <c r="HG130" s="55" t="e">
        <f t="shared" si="79"/>
        <v>#DIV/0!</v>
      </c>
      <c r="HH130" s="55" t="e">
        <f t="shared" si="79"/>
        <v>#DIV/0!</v>
      </c>
      <c r="HI130" s="55" t="e">
        <f t="shared" si="79"/>
        <v>#DIV/0!</v>
      </c>
      <c r="HJ130" s="55" t="e">
        <f t="shared" si="79"/>
        <v>#DIV/0!</v>
      </c>
      <c r="HK130" s="55" t="e">
        <f t="shared" si="79"/>
        <v>#DIV/0!</v>
      </c>
      <c r="HL130" s="55" t="e">
        <f t="shared" si="79"/>
        <v>#DIV/0!</v>
      </c>
      <c r="HM130" s="55" t="e">
        <f t="shared" si="79"/>
        <v>#DIV/0!</v>
      </c>
      <c r="HN130" s="55" t="e">
        <f t="shared" si="79"/>
        <v>#DIV/0!</v>
      </c>
      <c r="HO130" s="55" t="e">
        <f t="shared" si="79"/>
        <v>#DIV/0!</v>
      </c>
      <c r="HP130" s="55" t="e">
        <f t="shared" si="79"/>
        <v>#DIV/0!</v>
      </c>
      <c r="HQ130" s="55" t="e">
        <f t="shared" si="79"/>
        <v>#DIV/0!</v>
      </c>
      <c r="HR130" s="55" t="e">
        <f t="shared" si="79"/>
        <v>#DIV/0!</v>
      </c>
      <c r="HS130" s="55" t="e">
        <f t="shared" si="79"/>
        <v>#DIV/0!</v>
      </c>
      <c r="HT130" s="55" t="e">
        <f t="shared" si="79"/>
        <v>#DIV/0!</v>
      </c>
      <c r="HU130" s="55" t="e">
        <f t="shared" si="79"/>
        <v>#DIV/0!</v>
      </c>
      <c r="HV130" s="55" t="e">
        <f t="shared" si="79"/>
        <v>#DIV/0!</v>
      </c>
      <c r="HW130" s="55" t="e">
        <f t="shared" si="79"/>
        <v>#DIV/0!</v>
      </c>
      <c r="HX130" s="55" t="e">
        <f t="shared" si="79"/>
        <v>#DIV/0!</v>
      </c>
    </row>
    <row r="131" spans="1:232" ht="12.75" customHeight="1" x14ac:dyDescent="0.2">
      <c r="A131" s="85"/>
      <c r="B131" s="85"/>
      <c r="C131" s="91"/>
      <c r="D131" s="92"/>
      <c r="E131" s="85"/>
      <c r="F131" s="85"/>
      <c r="G131" s="91"/>
      <c r="H131" s="92"/>
      <c r="I131" s="85"/>
      <c r="J131" s="85"/>
      <c r="K131" s="91"/>
      <c r="L131" s="92"/>
      <c r="M131" s="85"/>
      <c r="N131" s="85"/>
      <c r="O131" s="91"/>
      <c r="P131" s="92"/>
      <c r="Q131" s="85"/>
      <c r="S131" s="85"/>
      <c r="T131" s="91"/>
      <c r="U131" s="92"/>
      <c r="V131" s="84"/>
      <c r="W131" s="85"/>
      <c r="X131" s="91"/>
      <c r="Y131" s="92"/>
      <c r="Z131" s="85"/>
      <c r="AA131" s="85"/>
      <c r="AB131" s="91"/>
      <c r="AC131" s="92"/>
      <c r="AD131" s="85"/>
      <c r="AE131" s="85"/>
      <c r="AF131" s="91"/>
      <c r="AG131" s="92"/>
      <c r="AH131" s="85"/>
      <c r="AI131" s="85"/>
      <c r="AJ131" s="91"/>
      <c r="AK131" s="92"/>
      <c r="AL131" s="85"/>
      <c r="AM131" s="85"/>
      <c r="AN131" s="91"/>
      <c r="AO131" s="92"/>
      <c r="AP131" s="85"/>
      <c r="AQ131" s="85"/>
      <c r="AR131" s="91"/>
      <c r="AS131" s="92"/>
      <c r="AT131" s="85"/>
      <c r="AU131" s="85"/>
      <c r="AV131" s="91"/>
      <c r="AW131" s="92"/>
      <c r="AX131" s="85"/>
      <c r="AY131" s="85"/>
      <c r="AZ131" s="91"/>
      <c r="BA131" s="92"/>
      <c r="BB131" s="85"/>
      <c r="BC131" s="85"/>
      <c r="BD131" s="91"/>
      <c r="BE131" s="92"/>
      <c r="BF131" s="85"/>
      <c r="BG131" s="85"/>
      <c r="BH131" s="91"/>
      <c r="BI131" s="92"/>
      <c r="BJ131" s="85"/>
      <c r="BK131" s="85"/>
      <c r="BL131" s="91"/>
      <c r="BM131" s="92"/>
      <c r="BN131" s="85"/>
      <c r="BO131" s="85"/>
      <c r="BP131" s="91"/>
      <c r="BQ131" s="92"/>
      <c r="BR131" s="85"/>
      <c r="BS131" s="85"/>
      <c r="BT131" s="91"/>
      <c r="BU131" s="92"/>
      <c r="BV131" s="85"/>
      <c r="BW131" s="85"/>
      <c r="BX131" s="91"/>
      <c r="BY131" s="92"/>
      <c r="BZ131" s="85"/>
      <c r="CA131" s="85"/>
      <c r="CB131" s="91"/>
      <c r="CC131" s="92"/>
      <c r="CD131" s="85"/>
      <c r="CE131" s="85"/>
      <c r="CF131" s="91"/>
      <c r="CG131" s="92"/>
      <c r="CH131" s="85"/>
      <c r="CI131" s="85"/>
      <c r="CJ131" s="91"/>
      <c r="CK131" s="92"/>
      <c r="CL131" s="85"/>
      <c r="CM131" s="85"/>
      <c r="CN131" s="91"/>
      <c r="CO131" s="92"/>
      <c r="CP131" s="85"/>
      <c r="CQ131" s="85"/>
      <c r="CR131" s="91"/>
      <c r="CS131" s="92"/>
      <c r="CT131" s="85"/>
      <c r="CU131" s="85"/>
      <c r="CV131" s="91"/>
      <c r="CW131" s="92"/>
      <c r="CX131" s="85"/>
      <c r="CY131" s="85"/>
      <c r="CZ131" s="91"/>
      <c r="DA131" s="92"/>
      <c r="DB131" s="85"/>
      <c r="DC131" s="85"/>
      <c r="DD131" s="91"/>
      <c r="DE131" s="92"/>
      <c r="DF131" s="85"/>
      <c r="DG131" s="85"/>
      <c r="DH131" s="91"/>
      <c r="DI131" s="92"/>
      <c r="DJ131" s="85"/>
      <c r="DK131" s="85"/>
      <c r="DL131" s="85"/>
      <c r="DM131" s="85"/>
      <c r="DN131" s="85"/>
      <c r="DO131" s="91"/>
      <c r="DP131" s="92"/>
      <c r="DQ131" s="85"/>
      <c r="DR131" s="85"/>
      <c r="DS131" s="91"/>
      <c r="DT131" s="92"/>
      <c r="DU131" s="85"/>
      <c r="DV131" s="85"/>
    </row>
    <row r="132" spans="1:232" ht="12.75" customHeight="1" x14ac:dyDescent="0.2">
      <c r="A132" s="85"/>
      <c r="B132" s="85"/>
      <c r="C132" s="91"/>
      <c r="D132" s="92"/>
      <c r="E132" s="85"/>
      <c r="F132" s="85"/>
      <c r="G132" s="91"/>
      <c r="H132" s="92"/>
      <c r="I132" s="85"/>
      <c r="J132" s="85"/>
      <c r="K132" s="91"/>
      <c r="L132" s="92"/>
      <c r="M132" s="85"/>
      <c r="N132" s="85"/>
      <c r="O132" s="91"/>
      <c r="P132" s="92"/>
      <c r="Q132" s="85"/>
      <c r="S132" s="85"/>
      <c r="T132" s="91"/>
      <c r="U132" s="92"/>
      <c r="V132" s="84"/>
      <c r="W132" s="85"/>
      <c r="X132" s="91"/>
      <c r="Y132" s="92"/>
      <c r="Z132" s="85"/>
      <c r="AA132" s="85"/>
      <c r="AB132" s="91"/>
      <c r="AC132" s="92"/>
      <c r="AD132" s="85"/>
      <c r="AE132" s="85"/>
      <c r="AF132" s="91"/>
      <c r="AG132" s="92"/>
      <c r="AH132" s="85"/>
      <c r="AI132" s="85"/>
      <c r="AJ132" s="91"/>
      <c r="AK132" s="92"/>
      <c r="AL132" s="85"/>
      <c r="AM132" s="85"/>
      <c r="AN132" s="91"/>
      <c r="AO132" s="92"/>
      <c r="AP132" s="85"/>
      <c r="AQ132" s="85"/>
      <c r="AR132" s="91"/>
      <c r="AS132" s="92"/>
      <c r="AT132" s="85"/>
      <c r="AU132" s="85"/>
      <c r="AV132" s="91"/>
      <c r="AW132" s="92"/>
      <c r="AX132" s="85"/>
      <c r="AY132" s="85"/>
      <c r="AZ132" s="91"/>
      <c r="BA132" s="92"/>
      <c r="BB132" s="85"/>
      <c r="BC132" s="85"/>
      <c r="BD132" s="91"/>
      <c r="BE132" s="92"/>
      <c r="BF132" s="85"/>
      <c r="BG132" s="85"/>
      <c r="BH132" s="91"/>
      <c r="BI132" s="92"/>
      <c r="BJ132" s="85"/>
      <c r="BK132" s="85"/>
      <c r="BL132" s="91"/>
      <c r="BM132" s="92"/>
      <c r="BN132" s="85"/>
      <c r="BO132" s="85"/>
      <c r="BP132" s="91"/>
      <c r="BQ132" s="92"/>
      <c r="BR132" s="85"/>
      <c r="BS132" s="85"/>
      <c r="BT132" s="91"/>
      <c r="BU132" s="92"/>
      <c r="BV132" s="85"/>
      <c r="BW132" s="85"/>
      <c r="BX132" s="91"/>
      <c r="BY132" s="92"/>
      <c r="BZ132" s="85"/>
      <c r="CA132" s="85"/>
      <c r="CB132" s="91"/>
      <c r="CC132" s="92"/>
      <c r="CD132" s="85"/>
      <c r="CE132" s="85"/>
      <c r="CF132" s="91"/>
      <c r="CG132" s="92"/>
      <c r="CH132" s="85"/>
      <c r="CI132" s="85"/>
      <c r="CJ132" s="91"/>
      <c r="CK132" s="92"/>
      <c r="CL132" s="85"/>
      <c r="CM132" s="85"/>
      <c r="CN132" s="91"/>
      <c r="CO132" s="92"/>
      <c r="CP132" s="85"/>
      <c r="CQ132" s="85"/>
      <c r="CR132" s="91"/>
      <c r="CS132" s="92"/>
      <c r="CT132" s="85"/>
      <c r="CU132" s="85"/>
      <c r="CV132" s="91"/>
      <c r="CW132" s="92"/>
      <c r="CX132" s="85"/>
      <c r="CY132" s="85"/>
      <c r="CZ132" s="91"/>
      <c r="DA132" s="92"/>
      <c r="DB132" s="85"/>
      <c r="DC132" s="85"/>
      <c r="DD132" s="91"/>
      <c r="DE132" s="92"/>
      <c r="DF132" s="85"/>
      <c r="DG132" s="85"/>
      <c r="DH132" s="91"/>
      <c r="DI132" s="92"/>
      <c r="DJ132" s="85"/>
      <c r="DK132" s="85"/>
      <c r="DL132" s="85"/>
      <c r="DM132" s="85"/>
      <c r="DN132" s="85"/>
      <c r="DO132" s="91"/>
      <c r="DP132" s="92"/>
      <c r="DQ132" s="85"/>
      <c r="DR132" s="85"/>
      <c r="DS132" s="91"/>
      <c r="DT132" s="92"/>
      <c r="DU132" s="85"/>
      <c r="DV132" s="85"/>
    </row>
    <row r="133" spans="1:232" ht="12.75" customHeight="1" x14ac:dyDescent="0.2">
      <c r="B133" s="65"/>
      <c r="E133" s="150"/>
      <c r="F133" s="150"/>
      <c r="I133" s="150"/>
      <c r="J133" s="150"/>
      <c r="M133" s="150"/>
      <c r="N133" s="150"/>
      <c r="Q133" s="150"/>
      <c r="R133" s="150"/>
      <c r="S133" s="150"/>
      <c r="V133" s="150"/>
      <c r="W133" s="150"/>
      <c r="Z133" s="150"/>
      <c r="AA133" s="150"/>
      <c r="AD133" s="150"/>
      <c r="AE133" s="150"/>
      <c r="AH133" s="150"/>
      <c r="AI133" s="150"/>
      <c r="AL133" s="150"/>
      <c r="AM133" s="150"/>
      <c r="AP133" s="150"/>
      <c r="AQ133" s="150"/>
      <c r="AT133" s="150"/>
      <c r="AU133" s="150"/>
      <c r="AX133" s="150"/>
      <c r="AY133" s="150"/>
      <c r="BB133" s="150"/>
      <c r="BC133" s="150"/>
      <c r="BF133" s="150"/>
      <c r="BG133" s="150"/>
      <c r="BJ133" s="150"/>
      <c r="BK133" s="150"/>
      <c r="BN133" s="150"/>
      <c r="BO133" s="150"/>
      <c r="BR133" s="150"/>
      <c r="BS133" s="150"/>
      <c r="BV133" s="150"/>
      <c r="BW133" s="150"/>
      <c r="BZ133" s="150"/>
      <c r="CA133" s="150"/>
      <c r="CD133" s="150"/>
      <c r="CE133" s="150"/>
      <c r="CH133" s="150"/>
      <c r="CI133" s="150"/>
      <c r="CL133" s="150"/>
      <c r="CM133" s="150"/>
      <c r="CP133" s="150"/>
      <c r="CQ133" s="150"/>
      <c r="CT133" s="150"/>
      <c r="CU133" s="150"/>
      <c r="CX133" s="150"/>
      <c r="CY133" s="150"/>
      <c r="DB133" s="150"/>
      <c r="DC133" s="150"/>
      <c r="DF133" s="150"/>
      <c r="DG133" s="150"/>
      <c r="DJ133" s="150"/>
      <c r="DK133" s="150"/>
      <c r="DL133" s="150"/>
      <c r="DM133" s="150"/>
      <c r="DN133" s="150"/>
      <c r="DQ133" s="150"/>
      <c r="DR133" s="150"/>
      <c r="DU133" s="150"/>
      <c r="DV133" s="150"/>
    </row>
    <row r="134" spans="1:232" ht="12.75" customHeight="1" x14ac:dyDescent="0.2">
      <c r="A134" s="74"/>
      <c r="E134" s="8"/>
      <c r="F134" s="120"/>
      <c r="I134" s="8"/>
      <c r="J134" s="120"/>
      <c r="M134" s="8"/>
      <c r="N134" s="120"/>
      <c r="Q134" s="8"/>
      <c r="R134" s="8"/>
      <c r="S134" s="120"/>
      <c r="V134" s="8"/>
      <c r="W134" s="120"/>
      <c r="Z134" s="8"/>
      <c r="AA134" s="120"/>
      <c r="AD134" s="8"/>
      <c r="AE134" s="120"/>
      <c r="AH134" s="8"/>
      <c r="AI134" s="120"/>
      <c r="AL134" s="8"/>
      <c r="AM134" s="120"/>
      <c r="AP134" s="8"/>
      <c r="AQ134" s="120"/>
      <c r="AT134" s="8"/>
      <c r="AU134" s="120"/>
      <c r="AX134" s="8"/>
      <c r="AY134" s="120"/>
      <c r="BB134" s="8"/>
      <c r="BC134" s="120"/>
      <c r="BF134" s="8"/>
      <c r="BG134" s="120"/>
      <c r="BJ134" s="8"/>
      <c r="BK134" s="120"/>
      <c r="BN134" s="8"/>
      <c r="BO134" s="120"/>
      <c r="BR134" s="8"/>
      <c r="BS134" s="120"/>
      <c r="BV134" s="8"/>
      <c r="BW134" s="120"/>
      <c r="BZ134" s="8"/>
      <c r="CA134" s="120"/>
      <c r="CD134" s="8"/>
      <c r="CE134" s="120"/>
      <c r="CH134" s="120"/>
      <c r="CI134" s="120"/>
      <c r="CL134" s="8"/>
      <c r="CM134" s="120"/>
      <c r="CP134" s="8"/>
      <c r="CQ134" s="120"/>
      <c r="CT134" s="8"/>
      <c r="CU134" s="120"/>
      <c r="CX134" s="8"/>
      <c r="CY134" s="120"/>
      <c r="DB134" s="8"/>
      <c r="DC134" s="120"/>
      <c r="DF134" s="8"/>
      <c r="DG134" s="120"/>
      <c r="DJ134" s="8"/>
      <c r="DK134" s="8"/>
      <c r="DL134" s="8"/>
      <c r="DM134" s="8"/>
      <c r="DN134" s="120"/>
      <c r="DQ134" s="8"/>
      <c r="DR134" s="120"/>
      <c r="DU134" s="8"/>
      <c r="DV134" s="120"/>
    </row>
    <row r="135" spans="1:232" ht="12.75" customHeight="1" x14ac:dyDescent="0.2">
      <c r="A135" s="161"/>
      <c r="E135" s="177"/>
      <c r="F135" s="177"/>
      <c r="I135" s="177"/>
      <c r="J135" s="177"/>
      <c r="M135" s="177"/>
      <c r="N135" s="177"/>
      <c r="Q135" s="177"/>
      <c r="R135" s="177"/>
      <c r="S135" s="177"/>
      <c r="V135" s="177"/>
      <c r="W135" s="177"/>
      <c r="Z135" s="177"/>
      <c r="AA135" s="177"/>
      <c r="AD135" s="177"/>
      <c r="AE135" s="177"/>
      <c r="AH135" s="177"/>
      <c r="AI135" s="177"/>
      <c r="AL135" s="177"/>
      <c r="AM135" s="177"/>
      <c r="AP135" s="177"/>
      <c r="AQ135" s="177"/>
      <c r="AT135" s="177"/>
      <c r="AU135" s="177"/>
      <c r="AX135" s="177"/>
      <c r="AY135" s="177"/>
      <c r="BB135" s="177"/>
      <c r="BC135" s="177"/>
      <c r="BF135" s="177"/>
      <c r="BG135" s="177"/>
      <c r="BJ135" s="177"/>
      <c r="BK135" s="177"/>
      <c r="BN135" s="177"/>
      <c r="BO135" s="177"/>
      <c r="BR135" s="177"/>
      <c r="BS135" s="177"/>
      <c r="BV135" s="177"/>
      <c r="BW135" s="177"/>
      <c r="BZ135" s="177"/>
      <c r="CA135" s="177"/>
      <c r="CD135" s="177"/>
      <c r="CE135" s="177"/>
      <c r="CH135" s="177"/>
      <c r="CI135" s="177"/>
      <c r="CL135" s="177"/>
      <c r="CM135" s="177"/>
      <c r="CP135" s="177"/>
      <c r="CQ135" s="177"/>
      <c r="CT135" s="177"/>
      <c r="CU135" s="177"/>
      <c r="CX135" s="177"/>
      <c r="CY135" s="177"/>
      <c r="DB135" s="177"/>
      <c r="DC135" s="177"/>
      <c r="DF135" s="177"/>
      <c r="DG135" s="177"/>
      <c r="DJ135" s="177"/>
      <c r="DK135" s="177"/>
      <c r="DL135" s="177"/>
      <c r="DM135" s="177"/>
      <c r="DN135" s="177"/>
      <c r="DQ135" s="177"/>
      <c r="DR135" s="177"/>
      <c r="DU135" s="177"/>
      <c r="DV135" s="177"/>
    </row>
    <row r="136" spans="1:232" s="27" customFormat="1" ht="15.75" x14ac:dyDescent="0.25">
      <c r="A136" s="201" t="s">
        <v>307</v>
      </c>
      <c r="B136" s="178"/>
      <c r="C136" s="23"/>
      <c r="D136" s="23"/>
      <c r="E136" s="180"/>
      <c r="F136" s="180"/>
      <c r="G136" s="23"/>
      <c r="H136" s="23"/>
      <c r="I136" s="180"/>
      <c r="J136" s="180"/>
      <c r="K136" s="23"/>
      <c r="L136" s="23"/>
      <c r="M136" s="180"/>
      <c r="N136" s="180"/>
      <c r="O136" s="23"/>
      <c r="P136" s="23"/>
      <c r="Q136" s="180"/>
      <c r="R136" s="180"/>
      <c r="S136" s="180"/>
      <c r="T136" s="23"/>
      <c r="U136" s="23"/>
      <c r="V136" s="180"/>
      <c r="W136" s="180"/>
      <c r="X136" s="23"/>
      <c r="Y136" s="23"/>
      <c r="Z136" s="180"/>
      <c r="AA136" s="180"/>
      <c r="AB136" s="23"/>
      <c r="AC136" s="23"/>
      <c r="AD136" s="180"/>
      <c r="AE136" s="180"/>
      <c r="AF136" s="23"/>
      <c r="AG136" s="23"/>
      <c r="AH136" s="180"/>
      <c r="AI136" s="180"/>
      <c r="AJ136" s="23"/>
      <c r="AK136" s="23"/>
      <c r="AL136" s="180"/>
      <c r="AM136" s="180"/>
      <c r="AN136" s="23"/>
      <c r="AO136" s="23"/>
      <c r="AP136" s="180"/>
      <c r="AQ136" s="180"/>
      <c r="AR136" s="23"/>
      <c r="AS136" s="23"/>
      <c r="AT136" s="180"/>
      <c r="AU136" s="180"/>
      <c r="AV136" s="23"/>
      <c r="AW136" s="23"/>
      <c r="AX136" s="180"/>
      <c r="AY136" s="180"/>
      <c r="AZ136" s="23"/>
      <c r="BA136" s="23"/>
      <c r="BB136" s="180"/>
      <c r="BC136" s="180"/>
      <c r="BD136" s="23"/>
      <c r="BE136" s="23"/>
      <c r="BF136" s="180"/>
      <c r="BG136" s="180"/>
      <c r="BH136" s="23"/>
      <c r="BI136" s="23"/>
      <c r="BJ136" s="180"/>
      <c r="BK136" s="180"/>
      <c r="BL136" s="23"/>
      <c r="BM136" s="23"/>
      <c r="BN136" s="180"/>
      <c r="BO136" s="180"/>
      <c r="BP136" s="23"/>
      <c r="BQ136" s="23"/>
      <c r="BR136" s="180"/>
      <c r="BS136" s="180"/>
      <c r="BT136" s="23"/>
      <c r="BU136" s="23"/>
      <c r="BV136" s="180"/>
      <c r="BW136" s="180"/>
      <c r="BX136" s="23"/>
      <c r="BY136" s="23"/>
      <c r="BZ136" s="180"/>
      <c r="CA136" s="180"/>
      <c r="CB136" s="23"/>
      <c r="CC136" s="23"/>
      <c r="CD136" s="180"/>
      <c r="CE136" s="180"/>
      <c r="CF136" s="23"/>
      <c r="CG136" s="23"/>
      <c r="CH136" s="180"/>
      <c r="CI136" s="180"/>
      <c r="CJ136" s="23"/>
      <c r="CK136" s="23"/>
      <c r="CL136" s="180"/>
      <c r="CM136" s="180"/>
      <c r="CN136" s="23"/>
      <c r="CO136" s="23"/>
      <c r="CP136" s="180"/>
      <c r="CQ136" s="180"/>
      <c r="CR136" s="23"/>
      <c r="CS136" s="23"/>
      <c r="CT136" s="180"/>
      <c r="CU136" s="180"/>
      <c r="CV136" s="23"/>
      <c r="CW136" s="23"/>
      <c r="CX136" s="180"/>
      <c r="CY136" s="180"/>
      <c r="CZ136" s="23"/>
      <c r="DA136" s="23"/>
      <c r="DB136" s="180"/>
      <c r="DC136" s="180"/>
      <c r="DD136" s="23"/>
      <c r="DE136" s="23"/>
      <c r="DF136" s="180"/>
      <c r="DG136" s="180"/>
      <c r="DH136" s="23"/>
      <c r="DI136" s="23"/>
      <c r="DJ136" s="180"/>
      <c r="DK136" s="180"/>
      <c r="DL136" s="180"/>
      <c r="DM136" s="180"/>
      <c r="DN136" s="180"/>
      <c r="DO136" s="23"/>
      <c r="DP136" s="23"/>
      <c r="DQ136" s="180"/>
      <c r="DR136" s="180"/>
      <c r="DS136" s="23"/>
      <c r="DT136" s="23"/>
      <c r="DU136" s="180"/>
      <c r="DV136" s="180"/>
    </row>
    <row r="137" spans="1:232" ht="12.75" customHeight="1" x14ac:dyDescent="0.2">
      <c r="A137" s="161"/>
      <c r="E137" s="177"/>
      <c r="F137" s="177"/>
      <c r="I137" s="177"/>
      <c r="J137" s="177"/>
      <c r="M137" s="177"/>
      <c r="N137" s="177"/>
      <c r="Q137" s="177"/>
      <c r="R137" s="177"/>
      <c r="S137" s="177"/>
      <c r="V137" s="177"/>
      <c r="W137" s="177"/>
      <c r="Z137" s="177"/>
      <c r="AA137" s="177"/>
      <c r="AD137" s="177"/>
      <c r="AE137" s="177"/>
      <c r="AH137" s="177"/>
      <c r="AI137" s="177"/>
      <c r="AL137" s="177"/>
      <c r="AM137" s="177"/>
      <c r="AP137" s="177"/>
      <c r="AQ137" s="177"/>
      <c r="AT137" s="177"/>
      <c r="AU137" s="177"/>
      <c r="AX137" s="177"/>
      <c r="AY137" s="177"/>
      <c r="BB137" s="177"/>
      <c r="BC137" s="177"/>
      <c r="BF137" s="177"/>
      <c r="BG137" s="177"/>
      <c r="BJ137" s="177"/>
      <c r="BK137" s="177"/>
      <c r="BN137" s="177"/>
      <c r="BO137" s="177"/>
      <c r="BR137" s="177"/>
      <c r="BS137" s="177"/>
      <c r="BV137" s="177"/>
      <c r="BW137" s="177"/>
      <c r="BZ137" s="177"/>
      <c r="CA137" s="177"/>
      <c r="CD137" s="177"/>
      <c r="CE137" s="177"/>
      <c r="CH137" s="177"/>
      <c r="CI137" s="177"/>
      <c r="CL137" s="177"/>
      <c r="CM137" s="177"/>
      <c r="CP137" s="177"/>
      <c r="CQ137" s="177"/>
      <c r="CT137" s="177"/>
      <c r="CU137" s="177"/>
      <c r="CX137" s="177"/>
      <c r="CY137" s="177"/>
      <c r="DB137" s="177"/>
      <c r="DC137" s="177"/>
      <c r="DF137" s="177"/>
      <c r="DG137" s="177"/>
      <c r="DJ137" s="177"/>
      <c r="DK137" s="177"/>
      <c r="DL137" s="177"/>
      <c r="DM137" s="177"/>
      <c r="DN137" s="177"/>
      <c r="DQ137" s="177"/>
      <c r="DR137" s="177"/>
      <c r="DU137" s="177"/>
      <c r="DV137" s="177"/>
    </row>
    <row r="138" spans="1:232" ht="12.75" customHeight="1" x14ac:dyDescent="0.2">
      <c r="A138" s="161"/>
      <c r="E138" s="177"/>
      <c r="F138" s="177"/>
      <c r="I138" s="177"/>
      <c r="J138" s="177"/>
      <c r="M138" s="177"/>
      <c r="N138" s="177"/>
      <c r="Q138" s="177"/>
      <c r="R138" s="177"/>
      <c r="S138" s="177"/>
      <c r="V138" s="177"/>
      <c r="W138" s="177"/>
      <c r="Z138" s="177"/>
      <c r="AA138" s="177"/>
      <c r="AD138" s="177"/>
      <c r="AE138" s="177"/>
      <c r="AH138" s="177"/>
      <c r="AI138" s="177"/>
      <c r="AL138" s="177"/>
      <c r="AM138" s="177"/>
      <c r="AP138" s="177"/>
      <c r="AQ138" s="177"/>
      <c r="AT138" s="177"/>
      <c r="AU138" s="177"/>
      <c r="AX138" s="177"/>
      <c r="AY138" s="177"/>
      <c r="BB138" s="177"/>
      <c r="BC138" s="177"/>
      <c r="BF138" s="177"/>
      <c r="BG138" s="177"/>
      <c r="BJ138" s="177"/>
      <c r="BK138" s="177"/>
      <c r="BN138" s="177"/>
      <c r="BO138" s="177"/>
      <c r="BR138" s="177"/>
      <c r="BS138" s="177"/>
      <c r="BV138" s="177"/>
      <c r="BW138" s="177"/>
      <c r="BZ138" s="177"/>
      <c r="CA138" s="177"/>
      <c r="CD138" s="177"/>
      <c r="CE138" s="177"/>
      <c r="CH138" s="177"/>
      <c r="CI138" s="177"/>
      <c r="CL138" s="177"/>
      <c r="CM138" s="177"/>
      <c r="CP138" s="177"/>
      <c r="CQ138" s="177"/>
      <c r="CT138" s="177"/>
      <c r="CU138" s="177"/>
      <c r="CX138" s="177"/>
      <c r="CY138" s="177"/>
      <c r="DB138" s="177"/>
      <c r="DC138" s="177"/>
      <c r="DF138" s="177"/>
      <c r="DG138" s="177"/>
      <c r="DJ138" s="177"/>
      <c r="DK138" s="177"/>
      <c r="DL138" s="177"/>
      <c r="DM138" s="177"/>
      <c r="DN138" s="177"/>
      <c r="DQ138" s="177"/>
      <c r="DR138" s="177"/>
      <c r="DU138" s="177"/>
      <c r="DV138" s="177"/>
    </row>
    <row r="139" spans="1:232" ht="12.75" customHeight="1" x14ac:dyDescent="0.2">
      <c r="A139" s="13" t="s">
        <v>308</v>
      </c>
      <c r="E139" s="202">
        <v>2004.25</v>
      </c>
      <c r="F139" s="203"/>
      <c r="I139" s="202">
        <v>2003.25</v>
      </c>
      <c r="J139" s="203"/>
      <c r="M139" s="202">
        <v>2004.25</v>
      </c>
      <c r="N139" s="203"/>
      <c r="Q139" s="202">
        <v>2004.25</v>
      </c>
      <c r="R139" s="202">
        <v>2003.25</v>
      </c>
      <c r="S139" s="203"/>
      <c r="V139" s="202">
        <v>2004.25</v>
      </c>
      <c r="W139" s="203"/>
      <c r="Z139" s="202">
        <v>2004.5</v>
      </c>
      <c r="AA139" s="203"/>
      <c r="AD139" s="202">
        <v>2004.25</v>
      </c>
      <c r="AE139" s="203"/>
      <c r="AH139" s="202">
        <v>2004</v>
      </c>
      <c r="AI139" s="203"/>
      <c r="AL139" s="202">
        <v>2004.25</v>
      </c>
      <c r="AM139" s="203"/>
      <c r="AP139" s="202">
        <v>2004.25</v>
      </c>
      <c r="AQ139" s="203"/>
      <c r="AT139" s="202">
        <v>2004.25</v>
      </c>
      <c r="AU139" s="203"/>
      <c r="AX139" s="202">
        <v>2004.25</v>
      </c>
      <c r="AY139" s="203"/>
      <c r="BB139" s="202">
        <v>2004.25</v>
      </c>
      <c r="BC139" s="203"/>
      <c r="BF139" s="202" t="e">
        <v>#NUM!</v>
      </c>
      <c r="BG139" s="203"/>
      <c r="BJ139" s="202">
        <v>2004.5</v>
      </c>
      <c r="BK139" s="203"/>
      <c r="BN139" s="202">
        <v>2004.25</v>
      </c>
      <c r="BO139" s="203"/>
      <c r="BR139" s="202">
        <v>2004.75</v>
      </c>
      <c r="BS139" s="203"/>
      <c r="BV139" s="202">
        <v>2004.25</v>
      </c>
      <c r="BW139" s="203"/>
      <c r="BZ139" s="202">
        <v>2004.5</v>
      </c>
      <c r="CA139" s="203"/>
      <c r="CD139" s="202">
        <v>2004.5</v>
      </c>
      <c r="CE139" s="203"/>
      <c r="CH139" s="202"/>
      <c r="CI139" s="203"/>
      <c r="CL139" s="202">
        <v>2004.25</v>
      </c>
      <c r="CM139" s="203"/>
      <c r="CP139" s="202">
        <v>2004.5</v>
      </c>
      <c r="CQ139" s="203"/>
      <c r="CT139" s="202">
        <v>2004.25</v>
      </c>
      <c r="CU139" s="203"/>
      <c r="CX139" s="202">
        <v>2004.25</v>
      </c>
      <c r="CY139" s="202"/>
      <c r="DB139" s="202" t="e">
        <v>#NUM!</v>
      </c>
      <c r="DC139" s="203"/>
      <c r="DF139" s="202">
        <v>2004.5</v>
      </c>
      <c r="DG139" s="203"/>
      <c r="DJ139" s="202">
        <v>2004.5</v>
      </c>
      <c r="DK139" s="202">
        <v>2003.5</v>
      </c>
      <c r="DL139" s="202">
        <v>2002.5</v>
      </c>
      <c r="DM139" s="202">
        <v>2002</v>
      </c>
      <c r="DN139" s="203"/>
      <c r="DQ139" s="202">
        <v>2004.25</v>
      </c>
      <c r="DR139" s="203"/>
      <c r="DU139" s="202">
        <v>2004.25</v>
      </c>
      <c r="DV139" s="203"/>
    </row>
    <row r="140" spans="1:232" ht="12.75" customHeight="1" x14ac:dyDescent="0.2">
      <c r="A140" s="13" t="s">
        <v>309</v>
      </c>
      <c r="E140" s="202">
        <v>2003.915</v>
      </c>
      <c r="F140" s="203"/>
      <c r="I140" s="202">
        <v>2002.75</v>
      </c>
      <c r="J140" s="203"/>
      <c r="M140" s="202">
        <v>2003.75</v>
      </c>
      <c r="N140" s="203"/>
      <c r="Q140" s="202">
        <v>2003.75</v>
      </c>
      <c r="R140" s="202">
        <v>2003.0450000000001</v>
      </c>
      <c r="S140" s="203"/>
      <c r="V140" s="202">
        <v>2003.75</v>
      </c>
      <c r="W140" s="203"/>
      <c r="Z140" s="202">
        <v>2004</v>
      </c>
      <c r="AA140" s="203"/>
      <c r="AD140" s="202">
        <v>2003.75</v>
      </c>
      <c r="AE140" s="203"/>
      <c r="AH140" s="202">
        <v>2003.5</v>
      </c>
      <c r="AI140" s="203"/>
      <c r="AL140" s="202">
        <v>2003.75</v>
      </c>
      <c r="AM140" s="203"/>
      <c r="AP140" s="202">
        <v>2003.75</v>
      </c>
      <c r="AQ140" s="203"/>
      <c r="AT140" s="202">
        <v>2003.75</v>
      </c>
      <c r="AU140" s="203"/>
      <c r="AX140" s="202">
        <v>2003.75</v>
      </c>
      <c r="AY140" s="203"/>
      <c r="BB140" s="202">
        <v>2003.75</v>
      </c>
      <c r="BC140" s="203"/>
      <c r="BF140" s="202" t="e">
        <v>#NUM!</v>
      </c>
      <c r="BG140" s="203"/>
      <c r="BJ140" s="202">
        <v>2004</v>
      </c>
      <c r="BK140" s="203"/>
      <c r="BN140" s="202">
        <v>2003.75</v>
      </c>
      <c r="BO140" s="203"/>
      <c r="BR140" s="202">
        <v>2004.25</v>
      </c>
      <c r="BS140" s="203"/>
      <c r="BV140" s="202">
        <v>2003.75</v>
      </c>
      <c r="BW140" s="203"/>
      <c r="BZ140" s="202">
        <v>2004</v>
      </c>
      <c r="CA140" s="203"/>
      <c r="CD140" s="202">
        <v>2004</v>
      </c>
      <c r="CE140" s="203"/>
      <c r="CH140" s="202"/>
      <c r="CI140" s="203"/>
      <c r="CL140" s="202">
        <v>2003.75</v>
      </c>
      <c r="CM140" s="203"/>
      <c r="CP140" s="202">
        <v>2004</v>
      </c>
      <c r="CQ140" s="203"/>
      <c r="CT140" s="202">
        <v>2003.75</v>
      </c>
      <c r="CU140" s="203"/>
      <c r="CX140" s="202">
        <v>2003.75</v>
      </c>
      <c r="CY140" s="202"/>
      <c r="DB140" s="202" t="e">
        <v>#NUM!</v>
      </c>
      <c r="DC140" s="203"/>
      <c r="DF140" s="202">
        <v>2004</v>
      </c>
      <c r="DG140" s="203"/>
      <c r="DJ140" s="202">
        <v>2004</v>
      </c>
      <c r="DK140" s="202">
        <v>2003</v>
      </c>
      <c r="DL140" s="202">
        <v>2002.25</v>
      </c>
      <c r="DM140" s="202">
        <v>2001.5</v>
      </c>
      <c r="DN140" s="203"/>
      <c r="DQ140" s="202">
        <v>2003.75</v>
      </c>
      <c r="DR140" s="203"/>
      <c r="DU140" s="202">
        <v>2003.75</v>
      </c>
      <c r="DV140" s="203"/>
    </row>
    <row r="141" spans="1:232" s="186" customFormat="1" ht="12.75" customHeight="1" x14ac:dyDescent="0.2">
      <c r="A141" s="182" t="s">
        <v>310</v>
      </c>
      <c r="B141" s="183"/>
      <c r="C141" s="184"/>
      <c r="D141" s="185"/>
      <c r="E141" s="182">
        <v>2003</v>
      </c>
      <c r="F141" s="182"/>
      <c r="G141" s="184"/>
      <c r="H141" s="185"/>
      <c r="I141" s="182">
        <v>2002</v>
      </c>
      <c r="J141" s="182"/>
      <c r="K141" s="184"/>
      <c r="L141" s="185"/>
      <c r="M141" s="182">
        <v>2003</v>
      </c>
      <c r="N141" s="182"/>
      <c r="O141" s="184"/>
      <c r="P141" s="185"/>
      <c r="Q141" s="182">
        <v>2003</v>
      </c>
      <c r="R141" s="182">
        <v>2002</v>
      </c>
      <c r="S141" s="182"/>
      <c r="T141" s="184"/>
      <c r="U141" s="185"/>
      <c r="V141" s="182">
        <v>2003</v>
      </c>
      <c r="W141" s="182"/>
      <c r="X141" s="184"/>
      <c r="Y141" s="185"/>
      <c r="Z141" s="182">
        <v>2004</v>
      </c>
      <c r="AA141" s="182"/>
      <c r="AB141" s="184"/>
      <c r="AC141" s="185"/>
      <c r="AD141" s="182">
        <v>2003</v>
      </c>
      <c r="AE141" s="182"/>
      <c r="AF141" s="184"/>
      <c r="AG141" s="185"/>
      <c r="AH141" s="182">
        <v>2003</v>
      </c>
      <c r="AI141" s="182"/>
      <c r="AJ141" s="184"/>
      <c r="AK141" s="185"/>
      <c r="AL141" s="182">
        <v>2003</v>
      </c>
      <c r="AM141" s="182"/>
      <c r="AN141" s="184"/>
      <c r="AO141" s="185"/>
      <c r="AP141" s="182">
        <v>2003</v>
      </c>
      <c r="AQ141" s="182"/>
      <c r="AR141" s="184"/>
      <c r="AS141" s="185"/>
      <c r="AT141" s="182">
        <v>2003</v>
      </c>
      <c r="AU141" s="182"/>
      <c r="AV141" s="184"/>
      <c r="AW141" s="185"/>
      <c r="AX141" s="182">
        <v>2003</v>
      </c>
      <c r="AY141" s="182"/>
      <c r="AZ141" s="184"/>
      <c r="BA141" s="185"/>
      <c r="BB141" s="182">
        <v>2003</v>
      </c>
      <c r="BC141" s="182"/>
      <c r="BD141" s="184"/>
      <c r="BE141" s="185"/>
      <c r="BF141" s="182" t="e">
        <v>#VALUE!</v>
      </c>
      <c r="BG141" s="182"/>
      <c r="BH141" s="184"/>
      <c r="BI141" s="185"/>
      <c r="BJ141" s="182">
        <v>2004</v>
      </c>
      <c r="BK141" s="182"/>
      <c r="BL141" s="184"/>
      <c r="BM141" s="185"/>
      <c r="BN141" s="182">
        <v>2003</v>
      </c>
      <c r="BO141" s="182"/>
      <c r="BP141" s="184"/>
      <c r="BQ141" s="185"/>
      <c r="BR141" s="182">
        <v>2004</v>
      </c>
      <c r="BS141" s="182"/>
      <c r="BT141" s="184"/>
      <c r="BU141" s="185"/>
      <c r="BV141" s="182">
        <v>2003</v>
      </c>
      <c r="BW141" s="182"/>
      <c r="BX141" s="184"/>
      <c r="BY141" s="185"/>
      <c r="BZ141" s="182">
        <v>2004</v>
      </c>
      <c r="CA141" s="182"/>
      <c r="CB141" s="184"/>
      <c r="CC141" s="185"/>
      <c r="CD141" s="182">
        <v>2004</v>
      </c>
      <c r="CE141" s="182"/>
      <c r="CF141" s="184"/>
      <c r="CG141" s="185"/>
      <c r="CH141" s="182"/>
      <c r="CI141" s="182"/>
      <c r="CJ141" s="184"/>
      <c r="CK141" s="185"/>
      <c r="CL141" s="182">
        <v>2003</v>
      </c>
      <c r="CM141" s="182"/>
      <c r="CN141" s="184"/>
      <c r="CO141" s="185"/>
      <c r="CP141" s="182">
        <v>2004</v>
      </c>
      <c r="CQ141" s="182"/>
      <c r="CR141" s="184"/>
      <c r="CS141" s="185"/>
      <c r="CT141" s="182">
        <v>2003</v>
      </c>
      <c r="CU141" s="182"/>
      <c r="CV141" s="184"/>
      <c r="CW141" s="185"/>
      <c r="CX141" s="182">
        <v>2003</v>
      </c>
      <c r="CY141" s="182"/>
      <c r="CZ141" s="184"/>
      <c r="DA141" s="185"/>
      <c r="DB141" s="182" t="e">
        <v>#VALUE!</v>
      </c>
      <c r="DC141" s="182"/>
      <c r="DD141" s="184"/>
      <c r="DE141" s="185"/>
      <c r="DF141" s="182">
        <v>2004</v>
      </c>
      <c r="DG141" s="182"/>
      <c r="DH141" s="184"/>
      <c r="DI141" s="185"/>
      <c r="DJ141" s="182">
        <v>2004</v>
      </c>
      <c r="DK141" s="182">
        <v>2003</v>
      </c>
      <c r="DL141" s="182">
        <v>2002</v>
      </c>
      <c r="DM141" s="182">
        <v>2001</v>
      </c>
      <c r="DN141" s="182"/>
      <c r="DO141" s="184"/>
      <c r="DP141" s="185"/>
      <c r="DQ141" s="182">
        <v>2003</v>
      </c>
      <c r="DR141" s="182"/>
      <c r="DS141" s="184"/>
      <c r="DT141" s="185"/>
      <c r="DU141" s="182">
        <v>2003</v>
      </c>
      <c r="DV141" s="18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row>
    <row r="142" spans="1:232" ht="12.75" customHeight="1" x14ac:dyDescent="0.2">
      <c r="A142" s="13" t="s">
        <v>311</v>
      </c>
      <c r="E142" s="202">
        <v>0.67</v>
      </c>
      <c r="F142" s="203"/>
      <c r="I142" s="202">
        <v>1</v>
      </c>
      <c r="J142" s="203"/>
      <c r="M142" s="202">
        <v>1</v>
      </c>
      <c r="N142" s="203"/>
      <c r="Q142" s="202">
        <v>1</v>
      </c>
      <c r="R142" s="202">
        <v>0.41</v>
      </c>
      <c r="S142" s="203"/>
      <c r="V142" s="202">
        <v>1</v>
      </c>
      <c r="W142" s="203"/>
      <c r="Z142" s="202">
        <v>1</v>
      </c>
      <c r="AA142" s="203"/>
      <c r="AD142" s="202">
        <v>1</v>
      </c>
      <c r="AE142" s="203"/>
      <c r="AH142" s="202">
        <v>1</v>
      </c>
      <c r="AI142" s="203"/>
      <c r="AL142" s="202">
        <v>1</v>
      </c>
      <c r="AM142" s="203"/>
      <c r="AP142" s="202">
        <v>1</v>
      </c>
      <c r="AQ142" s="203"/>
      <c r="AT142" s="202">
        <v>1</v>
      </c>
      <c r="AU142" s="203"/>
      <c r="AX142" s="202">
        <v>1</v>
      </c>
      <c r="AY142" s="203"/>
      <c r="BB142" s="202">
        <v>1</v>
      </c>
      <c r="BC142" s="203"/>
      <c r="BF142" s="202">
        <v>0</v>
      </c>
      <c r="BG142" s="203"/>
      <c r="BJ142" s="202">
        <v>1</v>
      </c>
      <c r="BK142" s="203"/>
      <c r="BN142" s="202">
        <v>1</v>
      </c>
      <c r="BO142" s="203"/>
      <c r="BR142" s="202">
        <v>1</v>
      </c>
      <c r="BS142" s="203"/>
      <c r="BV142" s="202">
        <v>1</v>
      </c>
      <c r="BW142" s="203"/>
      <c r="BZ142" s="202">
        <v>1</v>
      </c>
      <c r="CA142" s="203"/>
      <c r="CD142" s="202">
        <v>1</v>
      </c>
      <c r="CE142" s="203"/>
      <c r="CH142" s="202"/>
      <c r="CI142" s="203"/>
      <c r="CL142" s="202">
        <v>1</v>
      </c>
      <c r="CM142" s="203"/>
      <c r="CP142" s="202">
        <v>1</v>
      </c>
      <c r="CQ142" s="203"/>
      <c r="CT142" s="202">
        <v>1</v>
      </c>
      <c r="CU142" s="203"/>
      <c r="CX142" s="202">
        <v>1</v>
      </c>
      <c r="CY142" s="202"/>
      <c r="DB142" s="202">
        <v>0</v>
      </c>
      <c r="DC142" s="203"/>
      <c r="DF142" s="202">
        <v>1</v>
      </c>
      <c r="DG142" s="203"/>
      <c r="DJ142" s="202">
        <v>1</v>
      </c>
      <c r="DK142" s="202">
        <v>1</v>
      </c>
      <c r="DL142" s="202">
        <v>0.5</v>
      </c>
      <c r="DM142" s="202">
        <v>1</v>
      </c>
      <c r="DN142" s="203"/>
      <c r="DQ142" s="202">
        <v>1</v>
      </c>
      <c r="DR142" s="203"/>
      <c r="DU142" s="202">
        <v>1</v>
      </c>
      <c r="DV142" s="203"/>
    </row>
    <row r="143" spans="1:232" ht="12.75" customHeight="1" x14ac:dyDescent="0.2">
      <c r="A143" s="187"/>
      <c r="B143" s="188"/>
      <c r="C143" s="191"/>
      <c r="D143" s="192"/>
      <c r="E143" s="190"/>
      <c r="F143" s="190"/>
      <c r="G143" s="191"/>
      <c r="H143" s="192"/>
      <c r="I143" s="190"/>
      <c r="J143" s="190"/>
      <c r="K143" s="191"/>
      <c r="L143" s="192"/>
      <c r="M143" s="190"/>
      <c r="N143" s="190"/>
      <c r="O143" s="191"/>
      <c r="P143" s="192"/>
      <c r="Q143" s="190"/>
      <c r="R143" s="190"/>
      <c r="S143" s="190"/>
      <c r="T143" s="191"/>
      <c r="U143" s="192"/>
      <c r="V143" s="190"/>
      <c r="W143" s="190"/>
      <c r="X143" s="191"/>
      <c r="Y143" s="192"/>
      <c r="Z143" s="190"/>
      <c r="AA143" s="190"/>
      <c r="AB143" s="191"/>
      <c r="AC143" s="192"/>
      <c r="AD143" s="190"/>
      <c r="AE143" s="190"/>
      <c r="AF143" s="191"/>
      <c r="AG143" s="192"/>
      <c r="AH143" s="190"/>
      <c r="AI143" s="190"/>
      <c r="AJ143" s="191"/>
      <c r="AK143" s="192"/>
      <c r="AL143" s="190"/>
      <c r="AM143" s="190"/>
      <c r="AN143" s="191"/>
      <c r="AO143" s="192"/>
      <c r="AP143" s="190"/>
      <c r="AQ143" s="190"/>
      <c r="AR143" s="191"/>
      <c r="AS143" s="192"/>
      <c r="AT143" s="190"/>
      <c r="AU143" s="190"/>
      <c r="AV143" s="191"/>
      <c r="AW143" s="192"/>
      <c r="AX143" s="190"/>
      <c r="AY143" s="190"/>
      <c r="AZ143" s="191"/>
      <c r="BA143" s="192"/>
      <c r="BB143" s="190"/>
      <c r="BC143" s="190"/>
      <c r="BD143" s="191"/>
      <c r="BE143" s="192"/>
      <c r="BF143" s="190"/>
      <c r="BG143" s="190"/>
      <c r="BH143" s="191"/>
      <c r="BI143" s="192"/>
      <c r="BJ143" s="190"/>
      <c r="BK143" s="190"/>
      <c r="BL143" s="191"/>
      <c r="BM143" s="192"/>
      <c r="BN143" s="190"/>
      <c r="BO143" s="190"/>
      <c r="BP143" s="191"/>
      <c r="BQ143" s="192"/>
      <c r="BR143" s="190"/>
      <c r="BS143" s="190"/>
      <c r="BT143" s="191"/>
      <c r="BU143" s="192"/>
      <c r="BV143" s="190"/>
      <c r="BW143" s="190"/>
      <c r="BX143" s="191"/>
      <c r="BY143" s="192"/>
      <c r="BZ143" s="190"/>
      <c r="CA143" s="190"/>
      <c r="CB143" s="191"/>
      <c r="CC143" s="192"/>
      <c r="CD143" s="190"/>
      <c r="CE143" s="190"/>
      <c r="CF143" s="191"/>
      <c r="CG143" s="192"/>
      <c r="CH143" s="190"/>
      <c r="CI143" s="190"/>
      <c r="CJ143" s="191"/>
      <c r="CK143" s="192"/>
      <c r="CL143" s="190"/>
      <c r="CM143" s="190"/>
      <c r="CN143" s="191"/>
      <c r="CO143" s="192"/>
      <c r="CP143" s="190"/>
      <c r="CQ143" s="190"/>
      <c r="CR143" s="191"/>
      <c r="CS143" s="192"/>
      <c r="CT143" s="190"/>
      <c r="CU143" s="190"/>
      <c r="CV143" s="191"/>
      <c r="CW143" s="192"/>
      <c r="CX143" s="190"/>
      <c r="CY143" s="190"/>
      <c r="CZ143" s="191"/>
      <c r="DA143" s="192"/>
      <c r="DB143" s="190"/>
      <c r="DC143" s="190"/>
      <c r="DD143" s="191"/>
      <c r="DE143" s="192"/>
      <c r="DF143" s="190"/>
      <c r="DG143" s="190"/>
      <c r="DH143" s="191"/>
      <c r="DI143" s="192"/>
      <c r="DJ143" s="190"/>
      <c r="DK143" s="190"/>
      <c r="DL143" s="190"/>
      <c r="DM143" s="190"/>
      <c r="DN143" s="190"/>
      <c r="DO143" s="191"/>
      <c r="DP143" s="192"/>
      <c r="DQ143" s="190"/>
      <c r="DR143" s="190"/>
      <c r="DS143" s="191"/>
      <c r="DT143" s="192"/>
      <c r="DU143" s="190"/>
      <c r="DV143" s="190"/>
    </row>
    <row r="144" spans="1:232" ht="12.75" customHeight="1" x14ac:dyDescent="0.2">
      <c r="A144" s="187"/>
      <c r="B144" s="188"/>
      <c r="C144" s="191"/>
      <c r="D144" s="192"/>
      <c r="E144" s="190"/>
      <c r="F144" s="190"/>
      <c r="G144" s="191"/>
      <c r="H144" s="192"/>
      <c r="I144" s="190"/>
      <c r="J144" s="190"/>
      <c r="K144" s="191"/>
      <c r="L144" s="192"/>
      <c r="M144" s="190"/>
      <c r="N144" s="190"/>
      <c r="O144" s="191"/>
      <c r="P144" s="192"/>
      <c r="Q144" s="190"/>
      <c r="R144" s="190"/>
      <c r="S144" s="190"/>
      <c r="T144" s="191"/>
      <c r="U144" s="192"/>
      <c r="V144" s="190"/>
      <c r="W144" s="190"/>
      <c r="X144" s="191"/>
      <c r="Y144" s="192"/>
      <c r="Z144" s="190"/>
      <c r="AA144" s="190"/>
      <c r="AB144" s="191"/>
      <c r="AC144" s="192"/>
      <c r="AD144" s="190"/>
      <c r="AE144" s="190"/>
      <c r="AF144" s="191"/>
      <c r="AG144" s="192"/>
      <c r="AH144" s="190"/>
      <c r="AI144" s="190"/>
      <c r="AJ144" s="191"/>
      <c r="AK144" s="192"/>
      <c r="AL144" s="190"/>
      <c r="AM144" s="190"/>
      <c r="AN144" s="191"/>
      <c r="AO144" s="192"/>
      <c r="AP144" s="190"/>
      <c r="AQ144" s="190"/>
      <c r="AR144" s="191"/>
      <c r="AS144" s="192"/>
      <c r="AT144" s="190"/>
      <c r="AU144" s="190"/>
      <c r="AV144" s="191"/>
      <c r="AW144" s="192"/>
      <c r="AX144" s="190"/>
      <c r="AY144" s="190"/>
      <c r="AZ144" s="191"/>
      <c r="BA144" s="192"/>
      <c r="BB144" s="190"/>
      <c r="BC144" s="190"/>
      <c r="BD144" s="191"/>
      <c r="BE144" s="192"/>
      <c r="BF144" s="190"/>
      <c r="BG144" s="190"/>
      <c r="BH144" s="191"/>
      <c r="BI144" s="192"/>
      <c r="BJ144" s="190"/>
      <c r="BK144" s="190"/>
      <c r="BL144" s="191"/>
      <c r="BM144" s="192"/>
      <c r="BN144" s="190"/>
      <c r="BO144" s="190"/>
      <c r="BP144" s="191"/>
      <c r="BQ144" s="192"/>
      <c r="BR144" s="190"/>
      <c r="BS144" s="190"/>
      <c r="BT144" s="191"/>
      <c r="BU144" s="192"/>
      <c r="BV144" s="190"/>
      <c r="BW144" s="190"/>
      <c r="BX144" s="191"/>
      <c r="BY144" s="192"/>
      <c r="BZ144" s="190"/>
      <c r="CA144" s="190"/>
      <c r="CB144" s="191"/>
      <c r="CC144" s="192"/>
      <c r="CD144" s="190"/>
      <c r="CE144" s="190"/>
      <c r="CF144" s="191"/>
      <c r="CG144" s="192"/>
      <c r="CH144" s="190"/>
      <c r="CI144" s="190"/>
      <c r="CJ144" s="191"/>
      <c r="CK144" s="192"/>
      <c r="CL144" s="190"/>
      <c r="CM144" s="190"/>
      <c r="CN144" s="191"/>
      <c r="CO144" s="192"/>
      <c r="CP144" s="190"/>
      <c r="CQ144" s="190"/>
      <c r="CR144" s="191"/>
      <c r="CS144" s="192"/>
      <c r="CT144" s="190"/>
      <c r="CU144" s="190"/>
      <c r="CV144" s="191"/>
      <c r="CW144" s="192"/>
      <c r="CX144" s="190"/>
      <c r="CY144" s="190"/>
      <c r="CZ144" s="191"/>
      <c r="DA144" s="192"/>
      <c r="DB144" s="190"/>
      <c r="DC144" s="190"/>
      <c r="DD144" s="191"/>
      <c r="DE144" s="192"/>
      <c r="DF144" s="190"/>
      <c r="DG144" s="190"/>
      <c r="DH144" s="191"/>
      <c r="DI144" s="192"/>
      <c r="DJ144" s="190"/>
      <c r="DK144" s="190"/>
      <c r="DL144" s="190"/>
      <c r="DM144" s="190"/>
      <c r="DN144" s="190"/>
      <c r="DO144" s="191"/>
      <c r="DP144" s="192"/>
      <c r="DQ144" s="190"/>
      <c r="DR144" s="190"/>
      <c r="DS144" s="191"/>
      <c r="DT144" s="192"/>
      <c r="DU144" s="190"/>
      <c r="DV144" s="190"/>
    </row>
    <row r="145" spans="1:126" ht="12.75" customHeight="1" x14ac:dyDescent="0.2">
      <c r="A145" s="4"/>
      <c r="B145" s="116"/>
      <c r="E145" s="111"/>
      <c r="F145" s="111"/>
      <c r="I145" s="111"/>
      <c r="J145" s="111"/>
      <c r="M145" s="111"/>
      <c r="N145" s="111"/>
      <c r="Q145" s="111"/>
      <c r="R145" s="111"/>
      <c r="S145" s="111"/>
      <c r="V145" s="111"/>
      <c r="W145" s="111"/>
      <c r="Z145" s="111"/>
      <c r="AA145" s="111"/>
      <c r="AD145" s="111"/>
      <c r="AE145" s="111"/>
      <c r="AH145" s="111"/>
      <c r="AI145" s="111"/>
      <c r="AL145" s="111"/>
      <c r="AM145" s="111"/>
      <c r="AP145" s="111"/>
      <c r="AQ145" s="111"/>
      <c r="AT145" s="111"/>
      <c r="AU145" s="111"/>
      <c r="AX145" s="111"/>
      <c r="AY145" s="111"/>
      <c r="BB145" s="111"/>
      <c r="BC145" s="111"/>
      <c r="BF145" s="111"/>
      <c r="BG145" s="111"/>
      <c r="BJ145" s="111"/>
      <c r="BK145" s="111"/>
      <c r="BN145" s="111"/>
      <c r="BO145" s="111"/>
      <c r="BR145" s="111"/>
      <c r="BS145" s="111"/>
      <c r="BV145" s="111"/>
      <c r="BW145" s="111"/>
      <c r="BZ145" s="111"/>
      <c r="CA145" s="111"/>
      <c r="CD145" s="111"/>
      <c r="CE145" s="111"/>
      <c r="CH145" s="111"/>
      <c r="CI145" s="111"/>
      <c r="CL145" s="111"/>
      <c r="CM145" s="111"/>
      <c r="CP145" s="111"/>
      <c r="CQ145" s="111"/>
      <c r="CT145" s="111"/>
      <c r="CU145" s="111"/>
      <c r="CX145" s="111"/>
      <c r="CY145" s="111"/>
      <c r="DB145" s="111"/>
      <c r="DC145" s="111"/>
      <c r="DF145" s="111"/>
      <c r="DG145" s="111"/>
      <c r="DJ145" s="111"/>
      <c r="DK145" s="111"/>
      <c r="DL145" s="111"/>
      <c r="DM145" s="111"/>
      <c r="DN145" s="111"/>
      <c r="DQ145" s="111"/>
      <c r="DR145" s="111"/>
      <c r="DU145" s="111"/>
      <c r="DV145" s="111"/>
    </row>
    <row r="146" spans="1:126" ht="12.75" customHeight="1" x14ac:dyDescent="0.2">
      <c r="A146" s="194"/>
      <c r="B146" s="194" t="s">
        <v>313</v>
      </c>
      <c r="C146" s="195"/>
      <c r="D146" s="196"/>
      <c r="E146" s="194"/>
      <c r="F146" s="194"/>
      <c r="G146" s="195"/>
      <c r="H146" s="196"/>
      <c r="I146" s="194"/>
      <c r="J146" s="194"/>
      <c r="K146" s="195"/>
      <c r="L146" s="196"/>
      <c r="M146" s="194"/>
      <c r="N146" s="194"/>
      <c r="O146" s="195"/>
      <c r="P146" s="196"/>
      <c r="Q146" s="194"/>
      <c r="R146" s="194"/>
      <c r="S146" s="194"/>
      <c r="T146" s="195"/>
      <c r="U146" s="196"/>
      <c r="V146" s="194"/>
      <c r="W146" s="194"/>
      <c r="X146" s="195"/>
      <c r="Y146" s="196"/>
      <c r="Z146" s="194"/>
      <c r="AA146" s="194"/>
      <c r="AB146" s="195"/>
      <c r="AC146" s="196"/>
      <c r="AD146" s="194"/>
      <c r="AE146" s="194"/>
      <c r="AF146" s="195"/>
      <c r="AG146" s="196"/>
      <c r="AH146" s="194"/>
      <c r="AI146" s="194"/>
      <c r="AJ146" s="195"/>
      <c r="AK146" s="196"/>
      <c r="AL146" s="194"/>
      <c r="AM146" s="194"/>
      <c r="AN146" s="195"/>
      <c r="AO146" s="196"/>
      <c r="AP146" s="194"/>
      <c r="AQ146" s="194"/>
      <c r="AR146" s="195"/>
      <c r="AS146" s="196"/>
      <c r="AT146" s="194"/>
      <c r="AU146" s="194"/>
      <c r="AV146" s="195"/>
      <c r="AW146" s="196"/>
      <c r="AX146" s="194"/>
      <c r="AY146" s="194"/>
      <c r="AZ146" s="195"/>
      <c r="BA146" s="196"/>
      <c r="BB146" s="194"/>
      <c r="BC146" s="194"/>
      <c r="BD146" s="195"/>
      <c r="BE146" s="196"/>
      <c r="BF146" s="194"/>
      <c r="BG146" s="194"/>
      <c r="BH146" s="195"/>
      <c r="BI146" s="196"/>
      <c r="BJ146" s="194"/>
      <c r="BK146" s="194"/>
      <c r="BL146" s="195"/>
      <c r="BM146" s="196"/>
      <c r="BN146" s="194"/>
      <c r="BO146" s="194"/>
      <c r="BP146" s="195"/>
      <c r="BQ146" s="196"/>
      <c r="BR146" s="194"/>
      <c r="BS146" s="194"/>
      <c r="BT146" s="195"/>
      <c r="BU146" s="196"/>
      <c r="BV146" s="194"/>
      <c r="BW146" s="194"/>
      <c r="BX146" s="195"/>
      <c r="BY146" s="196"/>
      <c r="BZ146" s="194"/>
      <c r="CA146" s="194"/>
      <c r="CB146" s="195"/>
      <c r="CC146" s="196"/>
      <c r="CD146" s="194"/>
      <c r="CE146" s="194"/>
      <c r="CF146" s="195"/>
      <c r="CG146" s="196"/>
      <c r="CH146" s="194"/>
      <c r="CI146" s="194"/>
      <c r="CJ146" s="195"/>
      <c r="CK146" s="196"/>
      <c r="CL146" s="194"/>
      <c r="CM146" s="194"/>
      <c r="CN146" s="195"/>
      <c r="CO146" s="196"/>
      <c r="CP146" s="194"/>
      <c r="CQ146" s="194"/>
      <c r="CR146" s="195"/>
      <c r="CS146" s="196"/>
      <c r="CT146" s="194"/>
      <c r="CU146" s="194"/>
      <c r="CV146" s="195"/>
      <c r="CW146" s="196"/>
      <c r="CX146" s="194"/>
      <c r="CY146" s="194"/>
      <c r="CZ146" s="195"/>
      <c r="DA146" s="196"/>
      <c r="DB146" s="194"/>
      <c r="DC146" s="194"/>
      <c r="DD146" s="195"/>
      <c r="DE146" s="196"/>
      <c r="DF146" s="194"/>
      <c r="DG146" s="194"/>
      <c r="DH146" s="195"/>
      <c r="DI146" s="196"/>
      <c r="DJ146" s="194"/>
      <c r="DK146" s="194"/>
      <c r="DL146" s="194"/>
      <c r="DM146" s="194"/>
      <c r="DN146" s="194"/>
      <c r="DO146" s="195"/>
      <c r="DP146" s="196"/>
      <c r="DQ146" s="194"/>
      <c r="DR146" s="194"/>
      <c r="DS146" s="195"/>
      <c r="DT146" s="196"/>
      <c r="DU146" s="194"/>
      <c r="DV146" s="194"/>
    </row>
    <row r="147" spans="1:126" ht="12.75" customHeight="1" x14ac:dyDescent="0.2">
      <c r="A147" s="194"/>
      <c r="B147" s="194" t="s">
        <v>324</v>
      </c>
      <c r="C147" s="195"/>
      <c r="D147" s="196"/>
      <c r="E147" s="194"/>
      <c r="F147" s="194"/>
      <c r="G147" s="195"/>
      <c r="H147" s="196"/>
      <c r="I147" s="194"/>
      <c r="J147" s="194"/>
      <c r="K147" s="195"/>
      <c r="L147" s="196"/>
      <c r="M147" s="194"/>
      <c r="N147" s="194"/>
      <c r="O147" s="195"/>
      <c r="P147" s="196"/>
      <c r="Q147" s="194"/>
      <c r="R147" s="194"/>
      <c r="S147" s="194"/>
      <c r="T147" s="195"/>
      <c r="U147" s="196"/>
      <c r="V147" s="194"/>
      <c r="W147" s="194"/>
      <c r="X147" s="195"/>
      <c r="Y147" s="196"/>
      <c r="Z147" s="194"/>
      <c r="AA147" s="194"/>
      <c r="AB147" s="195"/>
      <c r="AC147" s="196"/>
      <c r="AD147" s="194"/>
      <c r="AE147" s="194"/>
      <c r="AF147" s="195"/>
      <c r="AG147" s="196"/>
      <c r="AH147" s="194"/>
      <c r="AI147" s="194"/>
      <c r="AJ147" s="195"/>
      <c r="AK147" s="196"/>
      <c r="AL147" s="194"/>
      <c r="AM147" s="194"/>
      <c r="AN147" s="195"/>
      <c r="AO147" s="196"/>
      <c r="AP147" s="194"/>
      <c r="AQ147" s="194"/>
      <c r="AR147" s="195"/>
      <c r="AS147" s="196"/>
      <c r="AT147" s="194"/>
      <c r="AU147" s="194"/>
      <c r="AV147" s="195"/>
      <c r="AW147" s="196"/>
      <c r="AX147" s="194"/>
      <c r="AY147" s="194"/>
      <c r="AZ147" s="195"/>
      <c r="BA147" s="196"/>
      <c r="BB147" s="194"/>
      <c r="BC147" s="194"/>
      <c r="BD147" s="195"/>
      <c r="BE147" s="196"/>
      <c r="BF147" s="194"/>
      <c r="BG147" s="194"/>
      <c r="BH147" s="195"/>
      <c r="BI147" s="196"/>
      <c r="BJ147" s="194"/>
      <c r="BK147" s="194"/>
      <c r="BL147" s="195"/>
      <c r="BM147" s="196"/>
      <c r="BN147" s="194"/>
      <c r="BO147" s="194"/>
      <c r="BP147" s="195"/>
      <c r="BQ147" s="196"/>
      <c r="BR147" s="194"/>
      <c r="BS147" s="194"/>
      <c r="BT147" s="195"/>
      <c r="BU147" s="196"/>
      <c r="BV147" s="194"/>
      <c r="BW147" s="194"/>
      <c r="BX147" s="195"/>
      <c r="BY147" s="196"/>
      <c r="BZ147" s="194"/>
      <c r="CA147" s="194"/>
      <c r="CB147" s="195"/>
      <c r="CC147" s="196"/>
      <c r="CD147" s="194"/>
      <c r="CE147" s="194"/>
      <c r="CF147" s="195"/>
      <c r="CG147" s="196"/>
      <c r="CH147" s="194"/>
      <c r="CI147" s="194"/>
      <c r="CJ147" s="195"/>
      <c r="CK147" s="196"/>
      <c r="CL147" s="194"/>
      <c r="CM147" s="194"/>
      <c r="CN147" s="195"/>
      <c r="CO147" s="196"/>
      <c r="CP147" s="194"/>
      <c r="CQ147" s="194"/>
      <c r="CR147" s="195"/>
      <c r="CS147" s="196"/>
      <c r="CT147" s="194"/>
      <c r="CU147" s="194"/>
      <c r="CV147" s="195"/>
      <c r="CW147" s="196"/>
      <c r="CX147" s="194"/>
      <c r="CY147" s="194"/>
      <c r="CZ147" s="195"/>
      <c r="DA147" s="196"/>
      <c r="DB147" s="194"/>
      <c r="DC147" s="194"/>
      <c r="DD147" s="195"/>
      <c r="DE147" s="196"/>
      <c r="DF147" s="194"/>
      <c r="DG147" s="194"/>
      <c r="DH147" s="195"/>
      <c r="DI147" s="196"/>
      <c r="DJ147" s="194"/>
      <c r="DK147" s="194"/>
      <c r="DL147" s="194"/>
      <c r="DM147" s="194"/>
      <c r="DN147" s="194"/>
      <c r="DO147" s="195"/>
      <c r="DP147" s="196"/>
      <c r="DQ147" s="194"/>
      <c r="DR147" s="194"/>
      <c r="DS147" s="195"/>
      <c r="DT147" s="196"/>
      <c r="DU147" s="194"/>
      <c r="DV147" s="194"/>
    </row>
    <row r="148" spans="1:126" ht="12.75" customHeight="1" x14ac:dyDescent="0.2">
      <c r="A148" s="194"/>
      <c r="B148" s="194" t="s">
        <v>331</v>
      </c>
      <c r="C148" s="195"/>
      <c r="D148" s="196"/>
      <c r="E148" s="194"/>
      <c r="F148" s="194"/>
      <c r="G148" s="195"/>
      <c r="H148" s="196"/>
      <c r="I148" s="194"/>
      <c r="J148" s="194"/>
      <c r="K148" s="195"/>
      <c r="L148" s="196"/>
      <c r="M148" s="194"/>
      <c r="N148" s="194"/>
      <c r="O148" s="195"/>
      <c r="P148" s="196"/>
      <c r="Q148" s="194"/>
      <c r="R148" s="194"/>
      <c r="S148" s="194"/>
      <c r="T148" s="195"/>
      <c r="U148" s="196"/>
      <c r="V148" s="194"/>
      <c r="W148" s="194"/>
      <c r="X148" s="195"/>
      <c r="Y148" s="196"/>
      <c r="Z148" s="194"/>
      <c r="AA148" s="194"/>
      <c r="AB148" s="195"/>
      <c r="AC148" s="196"/>
      <c r="AD148" s="194"/>
      <c r="AE148" s="194"/>
      <c r="AF148" s="195"/>
      <c r="AG148" s="196"/>
      <c r="AH148" s="194"/>
      <c r="AI148" s="194"/>
      <c r="AJ148" s="195"/>
      <c r="AK148" s="196"/>
      <c r="AL148" s="194"/>
      <c r="AM148" s="194"/>
      <c r="AN148" s="195"/>
      <c r="AO148" s="196"/>
      <c r="AP148" s="194"/>
      <c r="AQ148" s="194"/>
      <c r="AR148" s="195"/>
      <c r="AS148" s="196"/>
      <c r="AT148" s="194"/>
      <c r="AU148" s="194"/>
      <c r="AV148" s="195"/>
      <c r="AW148" s="196"/>
      <c r="AX148" s="194"/>
      <c r="AY148" s="194"/>
      <c r="AZ148" s="195"/>
      <c r="BA148" s="196"/>
      <c r="BB148" s="194"/>
      <c r="BC148" s="194"/>
      <c r="BD148" s="195"/>
      <c r="BE148" s="196"/>
      <c r="BF148" s="194"/>
      <c r="BG148" s="194"/>
      <c r="BH148" s="195"/>
      <c r="BI148" s="196"/>
      <c r="BJ148" s="194"/>
      <c r="BK148" s="194"/>
      <c r="BL148" s="195"/>
      <c r="BM148" s="196"/>
      <c r="BN148" s="194"/>
      <c r="BO148" s="194"/>
      <c r="BP148" s="195"/>
      <c r="BQ148" s="196"/>
      <c r="BR148" s="194"/>
      <c r="BS148" s="194"/>
      <c r="BT148" s="195"/>
      <c r="BU148" s="196"/>
      <c r="BV148" s="194"/>
      <c r="BW148" s="194"/>
      <c r="BX148" s="195"/>
      <c r="BY148" s="196"/>
      <c r="BZ148" s="194"/>
      <c r="CA148" s="194"/>
      <c r="CB148" s="195"/>
      <c r="CC148" s="196"/>
      <c r="CD148" s="194"/>
      <c r="CE148" s="194"/>
      <c r="CF148" s="195"/>
      <c r="CG148" s="196"/>
      <c r="CH148" s="194"/>
      <c r="CI148" s="194"/>
      <c r="CJ148" s="195"/>
      <c r="CK148" s="196"/>
      <c r="CL148" s="194"/>
      <c r="CM148" s="194"/>
      <c r="CN148" s="195"/>
      <c r="CO148" s="196"/>
      <c r="CP148" s="194"/>
      <c r="CQ148" s="194"/>
      <c r="CR148" s="195"/>
      <c r="CS148" s="196"/>
      <c r="CT148" s="194"/>
      <c r="CU148" s="194"/>
      <c r="CV148" s="195"/>
      <c r="CW148" s="196"/>
      <c r="CX148" s="194"/>
      <c r="CY148" s="194"/>
      <c r="CZ148" s="195"/>
      <c r="DA148" s="196"/>
      <c r="DB148" s="194"/>
      <c r="DC148" s="194"/>
      <c r="DD148" s="195"/>
      <c r="DE148" s="196"/>
      <c r="DF148" s="194"/>
      <c r="DG148" s="194"/>
      <c r="DH148" s="195"/>
      <c r="DI148" s="196"/>
      <c r="DJ148" s="194"/>
      <c r="DK148" s="194"/>
      <c r="DL148" s="194"/>
      <c r="DM148" s="194"/>
      <c r="DN148" s="194"/>
      <c r="DO148" s="195"/>
      <c r="DP148" s="196"/>
      <c r="DQ148" s="194"/>
      <c r="DR148" s="194"/>
      <c r="DS148" s="195"/>
      <c r="DT148" s="196"/>
      <c r="DU148" s="194"/>
      <c r="DV148" s="194"/>
    </row>
    <row r="149" spans="1:126" ht="12.75" customHeight="1" x14ac:dyDescent="0.2">
      <c r="A149" s="194"/>
      <c r="B149" s="194"/>
      <c r="C149" s="195"/>
      <c r="D149" s="196"/>
      <c r="E149" s="194"/>
      <c r="F149" s="194"/>
      <c r="G149" s="195"/>
      <c r="H149" s="196"/>
      <c r="I149" s="194"/>
      <c r="J149" s="194"/>
      <c r="K149" s="195"/>
      <c r="L149" s="196"/>
      <c r="M149" s="194"/>
      <c r="N149" s="194"/>
      <c r="O149" s="195"/>
      <c r="P149" s="196"/>
      <c r="Q149" s="194"/>
      <c r="R149" s="194"/>
      <c r="S149" s="194"/>
      <c r="T149" s="195"/>
      <c r="U149" s="196"/>
      <c r="V149" s="194"/>
      <c r="W149" s="194"/>
      <c r="X149" s="195"/>
      <c r="Y149" s="196"/>
      <c r="Z149" s="194"/>
      <c r="AA149" s="194"/>
      <c r="AB149" s="195"/>
      <c r="AC149" s="196"/>
      <c r="AD149" s="194"/>
      <c r="AE149" s="194"/>
      <c r="AF149" s="195"/>
      <c r="AG149" s="196"/>
      <c r="AH149" s="194"/>
      <c r="AI149" s="194"/>
      <c r="AJ149" s="195"/>
      <c r="AK149" s="196"/>
      <c r="AL149" s="194"/>
      <c r="AM149" s="194"/>
      <c r="AN149" s="195"/>
      <c r="AO149" s="196"/>
      <c r="AP149" s="194"/>
      <c r="AQ149" s="194"/>
      <c r="AR149" s="195"/>
      <c r="AS149" s="196"/>
      <c r="AT149" s="194"/>
      <c r="AU149" s="194"/>
      <c r="AV149" s="195"/>
      <c r="AW149" s="196"/>
      <c r="AX149" s="194"/>
      <c r="AY149" s="194"/>
      <c r="AZ149" s="195"/>
      <c r="BA149" s="196"/>
      <c r="BB149" s="194"/>
      <c r="BC149" s="194"/>
      <c r="BD149" s="195"/>
      <c r="BE149" s="196"/>
      <c r="BF149" s="194"/>
      <c r="BG149" s="194"/>
      <c r="BH149" s="195"/>
      <c r="BI149" s="196"/>
      <c r="BJ149" s="194"/>
      <c r="BK149" s="194"/>
      <c r="BL149" s="195"/>
      <c r="BM149" s="196"/>
      <c r="BN149" s="194"/>
      <c r="BO149" s="194"/>
      <c r="BP149" s="195"/>
      <c r="BQ149" s="196"/>
      <c r="BR149" s="194"/>
      <c r="BS149" s="194"/>
      <c r="BT149" s="195"/>
      <c r="BU149" s="196"/>
      <c r="BV149" s="194"/>
      <c r="BW149" s="194"/>
      <c r="BX149" s="195"/>
      <c r="BY149" s="196"/>
      <c r="BZ149" s="194"/>
      <c r="CA149" s="194"/>
      <c r="CB149" s="195"/>
      <c r="CC149" s="196"/>
      <c r="CD149" s="194"/>
      <c r="CE149" s="194"/>
      <c r="CF149" s="195"/>
      <c r="CG149" s="196"/>
      <c r="CH149" s="194"/>
      <c r="CI149" s="194"/>
      <c r="CJ149" s="195"/>
      <c r="CK149" s="196"/>
      <c r="CL149" s="194"/>
      <c r="CM149" s="194"/>
      <c r="CN149" s="195"/>
      <c r="CO149" s="196"/>
      <c r="CP149" s="194"/>
      <c r="CQ149" s="194"/>
      <c r="CR149" s="195"/>
      <c r="CS149" s="196"/>
      <c r="CT149" s="194"/>
      <c r="CU149" s="194"/>
      <c r="CV149" s="195"/>
      <c r="CW149" s="196"/>
      <c r="CX149" s="194"/>
      <c r="CY149" s="194"/>
      <c r="CZ149" s="195"/>
      <c r="DA149" s="196"/>
      <c r="DB149" s="194"/>
      <c r="DC149" s="194"/>
      <c r="DD149" s="195"/>
      <c r="DE149" s="196"/>
      <c r="DF149" s="194"/>
      <c r="DG149" s="194"/>
      <c r="DH149" s="195"/>
      <c r="DI149" s="196"/>
      <c r="DJ149" s="194"/>
      <c r="DK149" s="194"/>
      <c r="DL149" s="194"/>
      <c r="DM149" s="194"/>
      <c r="DN149" s="194"/>
      <c r="DO149" s="195"/>
      <c r="DP149" s="196"/>
      <c r="DQ149" s="194"/>
      <c r="DR149" s="194"/>
      <c r="DS149" s="195"/>
      <c r="DT149" s="196"/>
      <c r="DU149" s="194"/>
      <c r="DV149" s="194"/>
    </row>
    <row r="150" spans="1:126" ht="12.75" customHeight="1" x14ac:dyDescent="0.2">
      <c r="A150" s="194"/>
      <c r="B150" s="194"/>
      <c r="C150" s="195"/>
      <c r="D150" s="196"/>
      <c r="E150" s="194"/>
      <c r="F150" s="194"/>
      <c r="G150" s="195"/>
      <c r="H150" s="196"/>
      <c r="I150" s="194"/>
      <c r="J150" s="194"/>
      <c r="K150" s="195"/>
      <c r="L150" s="196"/>
      <c r="M150" s="194"/>
      <c r="N150" s="194"/>
      <c r="O150" s="195"/>
      <c r="P150" s="196"/>
      <c r="Q150" s="194"/>
      <c r="R150" s="194"/>
      <c r="S150" s="194"/>
      <c r="T150" s="195"/>
      <c r="U150" s="196"/>
      <c r="V150" s="194"/>
      <c r="W150" s="194"/>
      <c r="X150" s="195"/>
      <c r="Y150" s="196"/>
      <c r="Z150" s="194"/>
      <c r="AA150" s="194"/>
      <c r="AB150" s="195"/>
      <c r="AC150" s="196"/>
      <c r="AD150" s="194"/>
      <c r="AE150" s="194"/>
      <c r="AF150" s="195"/>
      <c r="AG150" s="196"/>
      <c r="AH150" s="194"/>
      <c r="AI150" s="194"/>
      <c r="AJ150" s="195"/>
      <c r="AK150" s="196"/>
      <c r="AL150" s="194"/>
      <c r="AM150" s="194"/>
      <c r="AN150" s="195"/>
      <c r="AO150" s="196"/>
      <c r="AP150" s="194"/>
      <c r="AQ150" s="194"/>
      <c r="AR150" s="195"/>
      <c r="AS150" s="196"/>
      <c r="AT150" s="194"/>
      <c r="AU150" s="194"/>
      <c r="AV150" s="195"/>
      <c r="AW150" s="196"/>
      <c r="AX150" s="194"/>
      <c r="AY150" s="194"/>
      <c r="AZ150" s="195"/>
      <c r="BA150" s="196"/>
      <c r="BB150" s="194"/>
      <c r="BC150" s="194"/>
      <c r="BD150" s="195"/>
      <c r="BE150" s="196"/>
      <c r="BF150" s="194"/>
      <c r="BG150" s="194"/>
      <c r="BH150" s="195"/>
      <c r="BI150" s="196"/>
      <c r="BJ150" s="194"/>
      <c r="BK150" s="194"/>
      <c r="BL150" s="195"/>
      <c r="BM150" s="196"/>
      <c r="BN150" s="194"/>
      <c r="BO150" s="194"/>
      <c r="BP150" s="195"/>
      <c r="BQ150" s="196"/>
      <c r="BR150" s="194"/>
      <c r="BS150" s="194"/>
      <c r="BT150" s="195"/>
      <c r="BU150" s="196"/>
      <c r="BV150" s="194"/>
      <c r="BW150" s="194"/>
      <c r="BX150" s="195"/>
      <c r="BY150" s="196"/>
      <c r="BZ150" s="194"/>
      <c r="CA150" s="194"/>
      <c r="CB150" s="195"/>
      <c r="CC150" s="196"/>
      <c r="CD150" s="194"/>
      <c r="CE150" s="194"/>
      <c r="CF150" s="195"/>
      <c r="CG150" s="196"/>
      <c r="CH150" s="194"/>
      <c r="CI150" s="194"/>
      <c r="CJ150" s="195"/>
      <c r="CK150" s="196"/>
      <c r="CL150" s="194"/>
      <c r="CM150" s="194"/>
      <c r="CN150" s="195"/>
      <c r="CO150" s="196"/>
      <c r="CP150" s="194"/>
      <c r="CQ150" s="194"/>
      <c r="CR150" s="195"/>
      <c r="CS150" s="196"/>
      <c r="CT150" s="194"/>
      <c r="CU150" s="194"/>
      <c r="CV150" s="195"/>
      <c r="CW150" s="196"/>
      <c r="CX150" s="194"/>
      <c r="CY150" s="194"/>
      <c r="CZ150" s="195"/>
      <c r="DA150" s="196"/>
      <c r="DB150" s="194"/>
      <c r="DC150" s="194"/>
      <c r="DD150" s="195"/>
      <c r="DE150" s="196"/>
      <c r="DF150" s="194"/>
      <c r="DG150" s="194"/>
      <c r="DH150" s="195"/>
      <c r="DI150" s="196"/>
      <c r="DJ150" s="194"/>
      <c r="DK150" s="194"/>
      <c r="DL150" s="194"/>
      <c r="DM150" s="194"/>
      <c r="DN150" s="194"/>
      <c r="DO150" s="195"/>
      <c r="DP150" s="196"/>
      <c r="DQ150" s="194"/>
      <c r="DR150" s="194"/>
      <c r="DS150" s="195"/>
      <c r="DT150" s="196"/>
      <c r="DU150" s="194"/>
      <c r="DV150" s="194"/>
    </row>
    <row r="151" spans="1:126" ht="12.75" customHeight="1" x14ac:dyDescent="0.2">
      <c r="A151" s="194"/>
      <c r="B151" s="194"/>
      <c r="C151" s="195"/>
      <c r="D151" s="196"/>
      <c r="E151" s="194"/>
      <c r="F151" s="194"/>
      <c r="G151" s="195"/>
      <c r="H151" s="196"/>
      <c r="I151" s="194"/>
      <c r="J151" s="194"/>
      <c r="K151" s="195"/>
      <c r="L151" s="196"/>
      <c r="M151" s="194"/>
      <c r="N151" s="194"/>
      <c r="O151" s="195"/>
      <c r="P151" s="196"/>
      <c r="Q151" s="194"/>
      <c r="R151" s="194"/>
      <c r="S151" s="194"/>
      <c r="T151" s="195"/>
      <c r="U151" s="196"/>
      <c r="V151" s="194"/>
      <c r="W151" s="194"/>
      <c r="X151" s="195"/>
      <c r="Y151" s="196"/>
      <c r="Z151" s="194"/>
      <c r="AA151" s="194"/>
      <c r="AB151" s="195"/>
      <c r="AC151" s="196"/>
      <c r="AD151" s="194"/>
      <c r="AE151" s="194"/>
      <c r="AF151" s="195"/>
      <c r="AG151" s="196"/>
      <c r="AH151" s="194"/>
      <c r="AI151" s="194"/>
      <c r="AJ151" s="195"/>
      <c r="AK151" s="196"/>
      <c r="AL151" s="194"/>
      <c r="AM151" s="194"/>
      <c r="AN151" s="195"/>
      <c r="AO151" s="196"/>
      <c r="AP151" s="194"/>
      <c r="AQ151" s="194"/>
      <c r="AR151" s="195"/>
      <c r="AS151" s="196"/>
      <c r="AT151" s="194"/>
      <c r="AU151" s="194"/>
      <c r="AV151" s="195"/>
      <c r="AW151" s="196"/>
      <c r="AX151" s="194"/>
      <c r="AY151" s="194"/>
      <c r="AZ151" s="195"/>
      <c r="BA151" s="196"/>
      <c r="BB151" s="194"/>
      <c r="BC151" s="194"/>
      <c r="BD151" s="195"/>
      <c r="BE151" s="196"/>
      <c r="BF151" s="194"/>
      <c r="BG151" s="194"/>
      <c r="BH151" s="195"/>
      <c r="BI151" s="196"/>
      <c r="BJ151" s="194"/>
      <c r="BK151" s="194"/>
      <c r="BL151" s="195"/>
      <c r="BM151" s="196"/>
      <c r="BN151" s="194"/>
      <c r="BO151" s="194"/>
      <c r="BP151" s="195"/>
      <c r="BQ151" s="196"/>
      <c r="BR151" s="194"/>
      <c r="BS151" s="194"/>
      <c r="BT151" s="195"/>
      <c r="BU151" s="196"/>
      <c r="BV151" s="194"/>
      <c r="BW151" s="194"/>
      <c r="BX151" s="195"/>
      <c r="BY151" s="196"/>
      <c r="BZ151" s="194"/>
      <c r="CA151" s="194"/>
      <c r="CB151" s="195"/>
      <c r="CC151" s="196"/>
      <c r="CD151" s="194"/>
      <c r="CE151" s="194"/>
      <c r="CF151" s="195"/>
      <c r="CG151" s="196"/>
      <c r="CH151" s="194"/>
      <c r="CI151" s="194"/>
      <c r="CJ151" s="195"/>
      <c r="CK151" s="196"/>
      <c r="CL151" s="194"/>
      <c r="CM151" s="194"/>
      <c r="CN151" s="195"/>
      <c r="CO151" s="196"/>
      <c r="CP151" s="194"/>
      <c r="CQ151" s="194"/>
      <c r="CR151" s="195"/>
      <c r="CS151" s="196"/>
      <c r="CT151" s="194"/>
      <c r="CU151" s="194"/>
      <c r="CV151" s="195"/>
      <c r="CW151" s="196"/>
      <c r="CX151" s="194"/>
      <c r="CY151" s="194"/>
      <c r="CZ151" s="195"/>
      <c r="DA151" s="196"/>
      <c r="DB151" s="194"/>
      <c r="DC151" s="194"/>
      <c r="DD151" s="195"/>
      <c r="DE151" s="196"/>
      <c r="DF151" s="194"/>
      <c r="DG151" s="194"/>
      <c r="DH151" s="195"/>
      <c r="DI151" s="196"/>
      <c r="DJ151" s="194"/>
      <c r="DK151" s="194"/>
      <c r="DL151" s="194"/>
      <c r="DM151" s="194"/>
      <c r="DN151" s="194"/>
      <c r="DO151" s="195"/>
      <c r="DP151" s="196"/>
      <c r="DQ151" s="194"/>
      <c r="DR151" s="194"/>
      <c r="DS151" s="195"/>
      <c r="DT151" s="196"/>
      <c r="DU151" s="194"/>
      <c r="DV151" s="194"/>
    </row>
  </sheetData>
  <hyperlinks>
    <hyperlink ref="R1" location="'Overview'!$A$1" display="'Overview'!$A$1"/>
    <hyperlink ref="Q1" location="'Overview'!$A$1" display="'Overview'!$A$1"/>
  </hyperlinks>
  <pageMargins left="0.75" right="0.75" top="1" bottom="1" header="0.5" footer="0.5"/>
  <pageSetup paperSize="9" orientation="portrait" r:id="rId1"/>
  <headerFooter alignWithMargins="0">
    <oddFooter>&amp;LData preparation NBFI Financial DATA.xls&amp;R&amp;"Arial,Bold"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DO158"/>
  <sheetViews>
    <sheetView zoomScale="75" workbookViewId="0">
      <pane xSplit="2" ySplit="4" topLeftCell="C5" activePane="bottomRight" state="frozen"/>
      <selection activeCell="V39" sqref="V39"/>
      <selection pane="topRight" activeCell="V39" sqref="V39"/>
      <selection pane="bottomLeft" activeCell="V39" sqref="V39"/>
      <selection pane="bottomRight" activeCell="M1" sqref="M1"/>
    </sheetView>
  </sheetViews>
  <sheetFormatPr defaultRowHeight="12.75" customHeight="1" outlineLevelCol="1" x14ac:dyDescent="0.2"/>
  <cols>
    <col min="1" max="1" width="3.85546875" style="13" customWidth="1"/>
    <col min="2" max="2" width="15.7109375" style="6" customWidth="1"/>
    <col min="3" max="3" width="11.140625" style="9" customWidth="1"/>
    <col min="4" max="4" width="11.140625" style="10" customWidth="1" outlineLevel="1"/>
    <col min="5" max="5" width="11.140625" style="6" customWidth="1" outlineLevel="1"/>
    <col min="6" max="6" width="10.5703125" style="6" customWidth="1" outlineLevel="1"/>
    <col min="7" max="7" width="11.140625" style="9" customWidth="1"/>
    <col min="8" max="8" width="11.140625" style="10" customWidth="1" outlineLevel="1"/>
    <col min="9" max="9" width="10" style="6" customWidth="1" outlineLevel="1"/>
    <col min="10" max="10" width="10.5703125" style="6" customWidth="1" outlineLevel="1"/>
    <col min="11" max="11" width="11.140625" style="9" customWidth="1"/>
    <col min="12" max="12" width="11.140625" style="10" customWidth="1" outlineLevel="1"/>
    <col min="13" max="13" width="8.5703125" style="6" customWidth="1" outlineLevel="1"/>
    <col min="14" max="14" width="10.5703125" style="6" customWidth="1" outlineLevel="1"/>
    <col min="15" max="15" width="11.140625" style="9" customWidth="1"/>
    <col min="16" max="16" width="11.140625" style="10" customWidth="1" outlineLevel="1"/>
    <col min="17" max="17" width="10.7109375" style="6" customWidth="1" outlineLevel="1"/>
    <col min="18" max="18" width="10.5703125" style="6" customWidth="1" outlineLevel="1"/>
    <col min="19" max="19" width="11.140625" style="9" customWidth="1"/>
    <col min="20" max="20" width="11.140625" style="10" customWidth="1" outlineLevel="1"/>
    <col min="21" max="22" width="11" style="6" customWidth="1" outlineLevel="1"/>
    <col min="23" max="23" width="7.7109375" style="6" customWidth="1" outlineLevel="1"/>
    <col min="24" max="24" width="10.85546875" style="6" customWidth="1" outlineLevel="1"/>
    <col min="25" max="25" width="11.140625" style="9" customWidth="1"/>
    <col min="26" max="26" width="11.140625" style="10" customWidth="1" outlineLevel="1"/>
    <col min="27" max="27" width="10.7109375" style="6" customWidth="1" outlineLevel="1"/>
    <col min="28" max="28" width="10.5703125" style="6" customWidth="1" outlineLevel="1"/>
    <col min="29" max="29" width="11.140625" style="9" customWidth="1"/>
    <col min="30" max="30" width="11.140625" style="10" customWidth="1" outlineLevel="1"/>
    <col min="31" max="31" width="8.85546875" style="6" customWidth="1" outlineLevel="1"/>
    <col min="32" max="32" width="10.5703125" style="6" customWidth="1" outlineLevel="1"/>
    <col min="33" max="33" width="11.140625" style="9" customWidth="1"/>
    <col min="34" max="34" width="11.140625" style="10" customWidth="1" outlineLevel="1"/>
    <col min="35" max="35" width="13.140625" style="6" customWidth="1" outlineLevel="1"/>
    <col min="36" max="36" width="10.5703125" style="6" customWidth="1" outlineLevel="1"/>
    <col min="37" max="37" width="11.140625" style="9" customWidth="1"/>
    <col min="38" max="38" width="11.140625" style="10" customWidth="1" outlineLevel="1"/>
    <col min="39" max="39" width="8.28515625" style="6" customWidth="1" outlineLevel="1"/>
    <col min="40" max="40" width="10.5703125" style="6" customWidth="1" outlineLevel="1"/>
    <col min="41" max="41" width="11.140625" style="9" customWidth="1"/>
    <col min="42" max="42" width="11.140625" style="10" customWidth="1" outlineLevel="1"/>
    <col min="43" max="43" width="11.42578125" style="6" customWidth="1" outlineLevel="1"/>
    <col min="44" max="44" width="10.5703125" style="6" customWidth="1" outlineLevel="1"/>
    <col min="45" max="45" width="9.140625" style="13"/>
    <col min="46" max="16384" width="9.140625" style="2"/>
  </cols>
  <sheetData>
    <row r="1" spans="1:119" ht="12.75" customHeight="1" x14ac:dyDescent="0.2">
      <c r="A1" s="4" t="s">
        <v>446</v>
      </c>
      <c r="M1" s="11"/>
    </row>
    <row r="2" spans="1:119" ht="51.75" customHeight="1" x14ac:dyDescent="0.2">
      <c r="A2" s="14"/>
      <c r="B2" s="15" t="s">
        <v>447</v>
      </c>
      <c r="C2" s="16" t="s">
        <v>67</v>
      </c>
      <c r="D2" s="18" t="s">
        <v>67</v>
      </c>
      <c r="E2" s="18" t="s">
        <v>67</v>
      </c>
      <c r="F2" s="18" t="s">
        <v>67</v>
      </c>
      <c r="G2" s="16" t="s">
        <v>448</v>
      </c>
      <c r="H2" s="18" t="s">
        <v>448</v>
      </c>
      <c r="I2" s="18" t="s">
        <v>448</v>
      </c>
      <c r="J2" s="18" t="s">
        <v>448</v>
      </c>
      <c r="K2" s="16" t="s">
        <v>449</v>
      </c>
      <c r="L2" s="18" t="s">
        <v>449</v>
      </c>
      <c r="M2" s="18" t="s">
        <v>449</v>
      </c>
      <c r="N2" s="18" t="s">
        <v>449</v>
      </c>
      <c r="O2" s="16" t="s">
        <v>66</v>
      </c>
      <c r="P2" s="18" t="s">
        <v>66</v>
      </c>
      <c r="Q2" s="18" t="s">
        <v>66</v>
      </c>
      <c r="R2" s="18" t="s">
        <v>66</v>
      </c>
      <c r="S2" s="19" t="s">
        <v>450</v>
      </c>
      <c r="T2" s="18" t="s">
        <v>450</v>
      </c>
      <c r="U2" s="18" t="s">
        <v>450</v>
      </c>
      <c r="V2" s="18" t="s">
        <v>450</v>
      </c>
      <c r="W2" s="209" t="s">
        <v>451</v>
      </c>
      <c r="X2" s="209" t="s">
        <v>451</v>
      </c>
      <c r="Y2" s="16" t="s">
        <v>76</v>
      </c>
      <c r="Z2" s="18" t="s">
        <v>76</v>
      </c>
      <c r="AA2" s="18" t="s">
        <v>76</v>
      </c>
      <c r="AB2" s="18" t="s">
        <v>76</v>
      </c>
      <c r="AC2" s="16" t="s">
        <v>68</v>
      </c>
      <c r="AD2" s="18" t="s">
        <v>68</v>
      </c>
      <c r="AE2" s="18" t="s">
        <v>68</v>
      </c>
      <c r="AF2" s="18" t="s">
        <v>68</v>
      </c>
      <c r="AG2" s="16" t="s">
        <v>69</v>
      </c>
      <c r="AH2" s="18" t="s">
        <v>69</v>
      </c>
      <c r="AI2" s="18" t="s">
        <v>69</v>
      </c>
      <c r="AJ2" s="18" t="s">
        <v>69</v>
      </c>
      <c r="AK2" s="16" t="s">
        <v>70</v>
      </c>
      <c r="AL2" s="18" t="s">
        <v>70</v>
      </c>
      <c r="AM2" s="18" t="s">
        <v>70</v>
      </c>
      <c r="AN2" s="18" t="s">
        <v>70</v>
      </c>
      <c r="AO2" s="16" t="s">
        <v>71</v>
      </c>
      <c r="AP2" s="18" t="s">
        <v>71</v>
      </c>
      <c r="AQ2" s="18" t="s">
        <v>71</v>
      </c>
      <c r="AR2" s="18" t="s">
        <v>71</v>
      </c>
      <c r="AS2" s="14"/>
    </row>
    <row r="3" spans="1:119" ht="12.75" customHeight="1" x14ac:dyDescent="0.2">
      <c r="A3" s="13" t="s">
        <v>101</v>
      </c>
      <c r="D3" s="20">
        <v>2005</v>
      </c>
      <c r="E3" s="20">
        <v>2004</v>
      </c>
      <c r="F3" s="20">
        <v>2003</v>
      </c>
      <c r="I3" s="20">
        <v>2004</v>
      </c>
      <c r="J3" s="20">
        <v>2003</v>
      </c>
      <c r="M3" s="20">
        <v>2004</v>
      </c>
      <c r="N3" s="20">
        <v>2003</v>
      </c>
      <c r="Q3" s="20">
        <v>2004</v>
      </c>
      <c r="R3" s="20">
        <v>2003</v>
      </c>
      <c r="U3" s="20">
        <v>2004</v>
      </c>
      <c r="V3" s="20">
        <v>2004</v>
      </c>
      <c r="W3" s="20">
        <v>2003</v>
      </c>
      <c r="X3" s="20">
        <v>2002</v>
      </c>
      <c r="AA3" s="20">
        <v>2004</v>
      </c>
      <c r="AB3" s="20">
        <v>2003</v>
      </c>
      <c r="AE3" s="20">
        <v>2004</v>
      </c>
      <c r="AF3" s="20">
        <v>2003</v>
      </c>
      <c r="AI3" s="20">
        <v>2004</v>
      </c>
      <c r="AJ3" s="20">
        <v>2003</v>
      </c>
      <c r="AM3" s="20">
        <v>2004</v>
      </c>
      <c r="AN3" s="20">
        <v>2003</v>
      </c>
      <c r="AQ3" s="20">
        <v>2004</v>
      </c>
      <c r="AR3" s="20">
        <v>2003</v>
      </c>
    </row>
    <row r="4" spans="1:119" ht="12.75" customHeight="1" x14ac:dyDescent="0.2">
      <c r="A4" s="13" t="s">
        <v>102</v>
      </c>
      <c r="D4" s="20" t="s">
        <v>105</v>
      </c>
      <c r="E4" s="20" t="s">
        <v>105</v>
      </c>
      <c r="F4" s="20" t="s">
        <v>105</v>
      </c>
      <c r="I4" s="20" t="s">
        <v>108</v>
      </c>
      <c r="J4" s="20" t="s">
        <v>108</v>
      </c>
      <c r="M4" s="20" t="s">
        <v>108</v>
      </c>
      <c r="N4" s="20" t="s">
        <v>108</v>
      </c>
      <c r="Q4" s="20" t="s">
        <v>114</v>
      </c>
      <c r="R4" s="20" t="s">
        <v>114</v>
      </c>
      <c r="U4" s="20" t="s">
        <v>105</v>
      </c>
      <c r="V4" s="20" t="s">
        <v>111</v>
      </c>
      <c r="W4" s="20" t="s">
        <v>105</v>
      </c>
      <c r="X4" s="20" t="s">
        <v>108</v>
      </c>
      <c r="AA4" s="20" t="s">
        <v>108</v>
      </c>
      <c r="AB4" s="20" t="s">
        <v>108</v>
      </c>
      <c r="AE4" s="20" t="s">
        <v>108</v>
      </c>
      <c r="AF4" s="20" t="s">
        <v>108</v>
      </c>
      <c r="AI4" s="20" t="s">
        <v>108</v>
      </c>
      <c r="AJ4" s="20" t="s">
        <v>108</v>
      </c>
      <c r="AM4" s="20" t="s">
        <v>400</v>
      </c>
      <c r="AN4" s="20" t="s">
        <v>400</v>
      </c>
      <c r="AQ4" s="20" t="s">
        <v>105</v>
      </c>
      <c r="AR4" s="20" t="s">
        <v>105</v>
      </c>
    </row>
    <row r="5" spans="1:119" s="27" customFormat="1" ht="12.75" customHeight="1" x14ac:dyDescent="0.2">
      <c r="A5" s="23" t="s">
        <v>116</v>
      </c>
      <c r="B5" s="24"/>
      <c r="C5" s="25" t="str">
        <f t="shared" ref="C5:BN5" si="0">C2&amp;C3</f>
        <v>United Finance Ltd</v>
      </c>
      <c r="D5" s="25" t="str">
        <f t="shared" si="0"/>
        <v>United Finance Ltd2005</v>
      </c>
      <c r="E5" s="25" t="str">
        <f t="shared" si="0"/>
        <v>United Finance Ltd2004</v>
      </c>
      <c r="F5" s="25" t="str">
        <f t="shared" si="0"/>
        <v>United Finance Ltd2003</v>
      </c>
      <c r="G5" s="25" t="str">
        <f t="shared" si="0"/>
        <v>Vision Senior Living Ltd</v>
      </c>
      <c r="H5" s="25" t="str">
        <f t="shared" si="0"/>
        <v>Vision Senior Living Ltd</v>
      </c>
      <c r="I5" s="25" t="str">
        <f t="shared" si="0"/>
        <v>Vision Senior Living Ltd2004</v>
      </c>
      <c r="J5" s="25" t="str">
        <f t="shared" si="0"/>
        <v>Vision Senior Living Ltd2003</v>
      </c>
      <c r="K5" s="25" t="str">
        <f t="shared" si="0"/>
        <v>Vision Securities Ltd</v>
      </c>
      <c r="L5" s="25" t="str">
        <f t="shared" si="0"/>
        <v>Vision Securities Ltd</v>
      </c>
      <c r="M5" s="25" t="str">
        <f t="shared" si="0"/>
        <v>Vision Securities Ltd2004</v>
      </c>
      <c r="N5" s="25" t="str">
        <f t="shared" si="0"/>
        <v>Vision Securities Ltd2003</v>
      </c>
      <c r="O5" s="25" t="str">
        <f t="shared" si="0"/>
        <v>UDC</v>
      </c>
      <c r="P5" s="25" t="str">
        <f t="shared" si="0"/>
        <v>UDC</v>
      </c>
      <c r="Q5" s="25" t="str">
        <f t="shared" si="0"/>
        <v>UDC2004</v>
      </c>
      <c r="R5" s="25" t="str">
        <f t="shared" si="0"/>
        <v>UDC2003</v>
      </c>
      <c r="S5" s="25" t="str">
        <f t="shared" si="0"/>
        <v>VTL Group Finance Ltd</v>
      </c>
      <c r="T5" s="25" t="str">
        <f t="shared" si="0"/>
        <v>VTL Group Finance Ltd</v>
      </c>
      <c r="U5" s="25" t="str">
        <f t="shared" si="0"/>
        <v>VTL Group Finance Ltd2004</v>
      </c>
      <c r="V5" s="25" t="str">
        <f t="shared" si="0"/>
        <v>VTL Group Finance Ltd2004</v>
      </c>
      <c r="W5" s="25" t="str">
        <f t="shared" si="0"/>
        <v>VTL Group Ltd2003</v>
      </c>
      <c r="X5" s="25" t="str">
        <f t="shared" si="0"/>
        <v>VTL Group Ltd2002</v>
      </c>
      <c r="Y5" s="25" t="str">
        <f t="shared" si="0"/>
        <v>Wairarapa Building Society</v>
      </c>
      <c r="Z5" s="25" t="str">
        <f t="shared" si="0"/>
        <v>Wairarapa Building Society</v>
      </c>
      <c r="AA5" s="25" t="str">
        <f t="shared" si="0"/>
        <v>Wairarapa Building Society2004</v>
      </c>
      <c r="AB5" s="25" t="str">
        <f t="shared" si="0"/>
        <v>Wairarapa Building Society2003</v>
      </c>
      <c r="AC5" s="25" t="str">
        <f t="shared" si="0"/>
        <v>Western Bay Finance Ltd</v>
      </c>
      <c r="AD5" s="25" t="str">
        <f t="shared" si="0"/>
        <v>Western Bay Finance Ltd</v>
      </c>
      <c r="AE5" s="25" t="str">
        <f t="shared" si="0"/>
        <v>Western Bay Finance Ltd2004</v>
      </c>
      <c r="AF5" s="25" t="str">
        <f t="shared" si="0"/>
        <v>Western Bay Finance Ltd2003</v>
      </c>
      <c r="AG5" s="25" t="str">
        <f t="shared" si="0"/>
        <v>Westgold Finance Ltd</v>
      </c>
      <c r="AH5" s="25" t="str">
        <f t="shared" si="0"/>
        <v>Westgold Finance Ltd</v>
      </c>
      <c r="AI5" s="25" t="str">
        <f t="shared" si="0"/>
        <v>Westgold Finance Ltd2004</v>
      </c>
      <c r="AJ5" s="25" t="str">
        <f t="shared" si="0"/>
        <v>Westgold Finance Ltd2003</v>
      </c>
      <c r="AK5" s="25" t="str">
        <f t="shared" si="0"/>
        <v>Williams &amp; Kettle Ltd</v>
      </c>
      <c r="AL5" s="25" t="str">
        <f t="shared" si="0"/>
        <v>Williams &amp; Kettle Ltd</v>
      </c>
      <c r="AM5" s="25" t="str">
        <f t="shared" si="0"/>
        <v>Williams &amp; Kettle Ltd2004</v>
      </c>
      <c r="AN5" s="25" t="str">
        <f t="shared" si="0"/>
        <v>Williams &amp; Kettle Ltd2003</v>
      </c>
      <c r="AO5" s="25" t="str">
        <f t="shared" si="0"/>
        <v>Wrightson Finance Ltd</v>
      </c>
      <c r="AP5" s="25" t="str">
        <f t="shared" si="0"/>
        <v>Wrightson Finance Ltd</v>
      </c>
      <c r="AQ5" s="25" t="str">
        <f t="shared" si="0"/>
        <v>Wrightson Finance Ltd2004</v>
      </c>
      <c r="AR5" s="25" t="str">
        <f t="shared" si="0"/>
        <v>Wrightson Finance Ltd2003</v>
      </c>
      <c r="AS5" s="25" t="str">
        <f t="shared" si="0"/>
        <v/>
      </c>
      <c r="AT5" s="25" t="str">
        <f t="shared" si="0"/>
        <v/>
      </c>
      <c r="AU5" s="25" t="str">
        <f t="shared" si="0"/>
        <v/>
      </c>
      <c r="AV5" s="25" t="str">
        <f t="shared" si="0"/>
        <v/>
      </c>
      <c r="AW5" s="25" t="str">
        <f t="shared" si="0"/>
        <v/>
      </c>
      <c r="AX5" s="25" t="str">
        <f t="shared" si="0"/>
        <v/>
      </c>
      <c r="AY5" s="25" t="str">
        <f t="shared" si="0"/>
        <v/>
      </c>
      <c r="AZ5" s="25" t="str">
        <f t="shared" si="0"/>
        <v/>
      </c>
      <c r="BA5" s="25" t="str">
        <f t="shared" si="0"/>
        <v/>
      </c>
      <c r="BB5" s="25" t="str">
        <f t="shared" si="0"/>
        <v/>
      </c>
      <c r="BC5" s="25" t="str">
        <f t="shared" si="0"/>
        <v/>
      </c>
      <c r="BD5" s="25" t="str">
        <f t="shared" si="0"/>
        <v/>
      </c>
      <c r="BE5" s="25" t="str">
        <f t="shared" si="0"/>
        <v/>
      </c>
      <c r="BF5" s="25" t="str">
        <f t="shared" si="0"/>
        <v/>
      </c>
      <c r="BG5" s="25" t="str">
        <f t="shared" si="0"/>
        <v/>
      </c>
      <c r="BH5" s="25" t="str">
        <f t="shared" si="0"/>
        <v/>
      </c>
      <c r="BI5" s="25" t="str">
        <f t="shared" si="0"/>
        <v/>
      </c>
      <c r="BJ5" s="25" t="str">
        <f t="shared" si="0"/>
        <v/>
      </c>
      <c r="BK5" s="25" t="str">
        <f t="shared" si="0"/>
        <v/>
      </c>
      <c r="BL5" s="25" t="str">
        <f t="shared" si="0"/>
        <v/>
      </c>
      <c r="BM5" s="25" t="str">
        <f t="shared" si="0"/>
        <v/>
      </c>
      <c r="BN5" s="25" t="str">
        <f t="shared" si="0"/>
        <v/>
      </c>
      <c r="BO5" s="25" t="str">
        <f t="shared" ref="BO5:DO5" si="1">BO2&amp;BO3</f>
        <v/>
      </c>
      <c r="BP5" s="25" t="str">
        <f t="shared" si="1"/>
        <v/>
      </c>
      <c r="BQ5" s="25" t="str">
        <f t="shared" si="1"/>
        <v/>
      </c>
      <c r="BR5" s="25" t="str">
        <f t="shared" si="1"/>
        <v/>
      </c>
      <c r="BS5" s="25" t="str">
        <f t="shared" si="1"/>
        <v/>
      </c>
      <c r="BT5" s="25" t="str">
        <f t="shared" si="1"/>
        <v/>
      </c>
      <c r="BU5" s="25" t="str">
        <f t="shared" si="1"/>
        <v/>
      </c>
      <c r="BV5" s="25" t="str">
        <f t="shared" si="1"/>
        <v/>
      </c>
      <c r="BW5" s="25" t="str">
        <f t="shared" si="1"/>
        <v/>
      </c>
      <c r="BX5" s="25" t="str">
        <f t="shared" si="1"/>
        <v/>
      </c>
      <c r="BY5" s="25" t="str">
        <f t="shared" si="1"/>
        <v/>
      </c>
      <c r="BZ5" s="25" t="str">
        <f t="shared" si="1"/>
        <v/>
      </c>
      <c r="CA5" s="25" t="str">
        <f t="shared" si="1"/>
        <v/>
      </c>
      <c r="CB5" s="25" t="str">
        <f t="shared" si="1"/>
        <v/>
      </c>
      <c r="CC5" s="25" t="str">
        <f t="shared" si="1"/>
        <v/>
      </c>
      <c r="CD5" s="25" t="str">
        <f t="shared" si="1"/>
        <v/>
      </c>
      <c r="CE5" s="25" t="str">
        <f t="shared" si="1"/>
        <v/>
      </c>
      <c r="CF5" s="25" t="str">
        <f t="shared" si="1"/>
        <v/>
      </c>
      <c r="CG5" s="25" t="str">
        <f t="shared" si="1"/>
        <v/>
      </c>
      <c r="CH5" s="25" t="str">
        <f t="shared" si="1"/>
        <v/>
      </c>
      <c r="CI5" s="25" t="str">
        <f t="shared" si="1"/>
        <v/>
      </c>
      <c r="CJ5" s="25" t="str">
        <f t="shared" si="1"/>
        <v/>
      </c>
      <c r="CK5" s="25" t="str">
        <f t="shared" si="1"/>
        <v/>
      </c>
      <c r="CL5" s="25" t="str">
        <f t="shared" si="1"/>
        <v/>
      </c>
      <c r="CM5" s="25" t="str">
        <f t="shared" si="1"/>
        <v/>
      </c>
      <c r="CN5" s="25" t="str">
        <f t="shared" si="1"/>
        <v/>
      </c>
      <c r="CO5" s="25" t="str">
        <f t="shared" si="1"/>
        <v/>
      </c>
      <c r="CP5" s="25" t="str">
        <f t="shared" si="1"/>
        <v/>
      </c>
      <c r="CQ5" s="25" t="str">
        <f t="shared" si="1"/>
        <v/>
      </c>
      <c r="CR5" s="25" t="str">
        <f t="shared" si="1"/>
        <v/>
      </c>
      <c r="CS5" s="25" t="str">
        <f t="shared" si="1"/>
        <v/>
      </c>
      <c r="CT5" s="25" t="str">
        <f t="shared" si="1"/>
        <v/>
      </c>
      <c r="CU5" s="25" t="str">
        <f t="shared" si="1"/>
        <v/>
      </c>
      <c r="CV5" s="25" t="str">
        <f t="shared" si="1"/>
        <v/>
      </c>
      <c r="CW5" s="25" t="str">
        <f t="shared" si="1"/>
        <v/>
      </c>
      <c r="CX5" s="25" t="str">
        <f t="shared" si="1"/>
        <v/>
      </c>
      <c r="CY5" s="25" t="str">
        <f t="shared" si="1"/>
        <v/>
      </c>
      <c r="CZ5" s="25" t="str">
        <f t="shared" si="1"/>
        <v/>
      </c>
      <c r="DA5" s="25" t="str">
        <f t="shared" si="1"/>
        <v/>
      </c>
      <c r="DB5" s="25" t="str">
        <f t="shared" si="1"/>
        <v/>
      </c>
      <c r="DC5" s="25" t="str">
        <f t="shared" si="1"/>
        <v/>
      </c>
      <c r="DD5" s="25" t="str">
        <f t="shared" si="1"/>
        <v/>
      </c>
      <c r="DE5" s="25" t="str">
        <f t="shared" si="1"/>
        <v/>
      </c>
      <c r="DF5" s="25" t="str">
        <f t="shared" si="1"/>
        <v/>
      </c>
      <c r="DG5" s="25" t="str">
        <f t="shared" si="1"/>
        <v/>
      </c>
      <c r="DH5" s="25" t="str">
        <f t="shared" si="1"/>
        <v/>
      </c>
      <c r="DI5" s="25" t="str">
        <f t="shared" si="1"/>
        <v/>
      </c>
      <c r="DJ5" s="25" t="str">
        <f t="shared" si="1"/>
        <v/>
      </c>
      <c r="DK5" s="25" t="str">
        <f t="shared" si="1"/>
        <v/>
      </c>
      <c r="DL5" s="25" t="str">
        <f t="shared" si="1"/>
        <v/>
      </c>
      <c r="DM5" s="25" t="str">
        <f t="shared" si="1"/>
        <v/>
      </c>
      <c r="DN5" s="25" t="str">
        <f t="shared" si="1"/>
        <v/>
      </c>
      <c r="DO5" s="25" t="str">
        <f t="shared" si="1"/>
        <v/>
      </c>
    </row>
    <row r="6" spans="1:119" ht="12.75" customHeight="1" x14ac:dyDescent="0.2">
      <c r="A6" s="4" t="s">
        <v>117</v>
      </c>
      <c r="E6" s="32"/>
      <c r="F6" s="32"/>
      <c r="I6" s="32"/>
      <c r="J6" s="32"/>
      <c r="M6" s="32"/>
      <c r="N6" s="32"/>
      <c r="Q6" s="32"/>
      <c r="R6" s="32"/>
      <c r="U6" s="32"/>
      <c r="V6" s="32"/>
      <c r="W6" s="32"/>
      <c r="X6" s="32"/>
      <c r="AA6" s="32"/>
      <c r="AB6" s="32"/>
      <c r="AE6" s="32"/>
      <c r="AF6" s="32"/>
      <c r="AI6" s="32"/>
      <c r="AJ6" s="32"/>
      <c r="AM6" s="32"/>
      <c r="AN6" s="32"/>
      <c r="AQ6" s="32"/>
      <c r="AR6" s="32"/>
    </row>
    <row r="7" spans="1:119" ht="12.75" customHeight="1" x14ac:dyDescent="0.2">
      <c r="B7" s="33" t="s">
        <v>118</v>
      </c>
      <c r="E7" s="35">
        <f>13582-1328</f>
        <v>12254</v>
      </c>
      <c r="F7" s="35">
        <f>5660-608</f>
        <v>5052</v>
      </c>
      <c r="I7" s="35">
        <v>31.901</v>
      </c>
      <c r="J7" s="35">
        <v>1.075</v>
      </c>
      <c r="M7" s="35">
        <v>41.655000000000001</v>
      </c>
      <c r="N7" s="35">
        <v>0.81299999999999994</v>
      </c>
      <c r="Q7" s="35">
        <v>193730</v>
      </c>
      <c r="R7" s="35">
        <v>185937</v>
      </c>
      <c r="U7" s="35">
        <v>18.652999999999999</v>
      </c>
      <c r="V7" s="35"/>
      <c r="W7" s="35">
        <v>1865</v>
      </c>
      <c r="X7" s="35">
        <v>1104</v>
      </c>
      <c r="AA7" s="35">
        <v>5386.0569999999998</v>
      </c>
      <c r="AB7" s="35">
        <v>4621.6549999999997</v>
      </c>
      <c r="AE7" s="35">
        <v>14350.439</v>
      </c>
      <c r="AF7" s="35">
        <v>8156.1170000000002</v>
      </c>
      <c r="AI7" s="35">
        <v>2255.2869999999998</v>
      </c>
      <c r="AJ7" s="35"/>
      <c r="AM7" s="35">
        <v>2614</v>
      </c>
      <c r="AN7" s="35">
        <v>2982</v>
      </c>
      <c r="AQ7" s="35">
        <v>1556</v>
      </c>
      <c r="AR7" s="35">
        <v>1121</v>
      </c>
    </row>
    <row r="8" spans="1:119" ht="12.75" customHeight="1" x14ac:dyDescent="0.2">
      <c r="A8" s="38"/>
      <c r="B8" s="39" t="s">
        <v>120</v>
      </c>
      <c r="C8" s="46"/>
      <c r="D8" s="47">
        <v>12331</v>
      </c>
      <c r="E8" s="43">
        <v>9043</v>
      </c>
      <c r="F8" s="43">
        <v>4286</v>
      </c>
      <c r="G8" s="46"/>
      <c r="H8" s="47"/>
      <c r="I8" s="43">
        <v>335.73500000000001</v>
      </c>
      <c r="J8" s="43">
        <v>349.33</v>
      </c>
      <c r="K8" s="46"/>
      <c r="L8" s="47"/>
      <c r="M8" s="43">
        <v>70.525999999999996</v>
      </c>
      <c r="N8" s="43">
        <v>0</v>
      </c>
      <c r="O8" s="46"/>
      <c r="P8" s="47"/>
      <c r="Q8" s="43">
        <v>125222</v>
      </c>
      <c r="R8" s="43">
        <v>121591</v>
      </c>
      <c r="S8" s="46"/>
      <c r="T8" s="47"/>
      <c r="U8" s="43">
        <v>20.378</v>
      </c>
      <c r="V8" s="43"/>
      <c r="W8" s="43">
        <v>2055</v>
      </c>
      <c r="X8" s="43">
        <v>226</v>
      </c>
      <c r="Y8" s="46"/>
      <c r="Z8" s="47"/>
      <c r="AA8" s="43">
        <f>3815.646</f>
        <v>3815.6460000000002</v>
      </c>
      <c r="AB8" s="43">
        <f>3170.79</f>
        <v>3170.79</v>
      </c>
      <c r="AC8" s="46"/>
      <c r="AD8" s="47"/>
      <c r="AE8" s="43">
        <f>286+3551.413</f>
        <v>3837.413</v>
      </c>
      <c r="AF8" s="43">
        <f>15.056+2062.141</f>
        <v>2077.1970000000001</v>
      </c>
      <c r="AG8" s="46"/>
      <c r="AH8" s="47"/>
      <c r="AI8" s="43">
        <v>905.24599999999998</v>
      </c>
      <c r="AJ8" s="43"/>
      <c r="AK8" s="46"/>
      <c r="AL8" s="47"/>
      <c r="AM8" s="43">
        <f>561+1010</f>
        <v>1571</v>
      </c>
      <c r="AN8" s="43">
        <f>531+1387</f>
        <v>1918</v>
      </c>
      <c r="AO8" s="46"/>
      <c r="AP8" s="47"/>
      <c r="AQ8" s="43">
        <v>530</v>
      </c>
      <c r="AR8" s="43">
        <v>373</v>
      </c>
      <c r="AS8" s="38"/>
    </row>
    <row r="9" spans="1:119" ht="12.75" customHeight="1" x14ac:dyDescent="0.2">
      <c r="A9" s="6" t="s">
        <v>121</v>
      </c>
      <c r="B9" s="33"/>
      <c r="C9" s="52"/>
      <c r="D9" s="53"/>
      <c r="E9" s="51">
        <f>E7-E8</f>
        <v>3211</v>
      </c>
      <c r="F9" s="51">
        <f>F7-F8</f>
        <v>766</v>
      </c>
      <c r="G9" s="52"/>
      <c r="H9" s="53"/>
      <c r="I9" s="51">
        <f>I7-I8</f>
        <v>-303.834</v>
      </c>
      <c r="J9" s="51">
        <f>J7-J8</f>
        <v>-348.255</v>
      </c>
      <c r="K9" s="52"/>
      <c r="L9" s="53"/>
      <c r="M9" s="51">
        <f>M7-M8</f>
        <v>-28.870999999999995</v>
      </c>
      <c r="N9" s="51">
        <f>N7-N8</f>
        <v>0.81299999999999994</v>
      </c>
      <c r="O9" s="52"/>
      <c r="P9" s="53"/>
      <c r="Q9" s="51">
        <f>Q7-Q8</f>
        <v>68508</v>
      </c>
      <c r="R9" s="51">
        <f>R7-R8</f>
        <v>64346</v>
      </c>
      <c r="S9" s="52"/>
      <c r="T9" s="53"/>
      <c r="U9" s="51">
        <f>U7-U8</f>
        <v>-1.7250000000000014</v>
      </c>
      <c r="V9" s="51"/>
      <c r="W9" s="51">
        <f>W7-W8</f>
        <v>-190</v>
      </c>
      <c r="X9" s="51">
        <f>X7-X8</f>
        <v>878</v>
      </c>
      <c r="Y9" s="52"/>
      <c r="Z9" s="53"/>
      <c r="AA9" s="51">
        <f>AA7-AA8</f>
        <v>1570.4109999999996</v>
      </c>
      <c r="AB9" s="51">
        <f>AB7-AB8</f>
        <v>1450.8649999999998</v>
      </c>
      <c r="AC9" s="52"/>
      <c r="AD9" s="53"/>
      <c r="AE9" s="51">
        <f>AE7-AE8</f>
        <v>10513.026</v>
      </c>
      <c r="AF9" s="51">
        <f>AF7-AF8</f>
        <v>6078.92</v>
      </c>
      <c r="AG9" s="52"/>
      <c r="AH9" s="53"/>
      <c r="AI9" s="51">
        <f>AI7-AI8</f>
        <v>1350.0409999999997</v>
      </c>
      <c r="AJ9" s="51"/>
      <c r="AK9" s="52"/>
      <c r="AL9" s="53"/>
      <c r="AM9" s="51">
        <f>AM7-AM8</f>
        <v>1043</v>
      </c>
      <c r="AN9" s="51">
        <f>AN7-AN8</f>
        <v>1064</v>
      </c>
      <c r="AO9" s="52"/>
      <c r="AP9" s="53"/>
      <c r="AQ9" s="51">
        <f>AQ7-AQ8</f>
        <v>1026</v>
      </c>
      <c r="AR9" s="51">
        <f>AR7-AR8</f>
        <v>748</v>
      </c>
      <c r="AS9" s="54"/>
    </row>
    <row r="10" spans="1:119" ht="12.75" customHeight="1" x14ac:dyDescent="0.2">
      <c r="A10" s="6"/>
      <c r="B10" s="33"/>
      <c r="C10" s="52"/>
      <c r="D10" s="53"/>
      <c r="E10" s="56"/>
      <c r="F10" s="56"/>
      <c r="G10" s="52"/>
      <c r="H10" s="53"/>
      <c r="I10" s="56"/>
      <c r="J10" s="56"/>
      <c r="K10" s="52"/>
      <c r="L10" s="53"/>
      <c r="M10" s="56"/>
      <c r="N10" s="56"/>
      <c r="O10" s="52"/>
      <c r="P10" s="53"/>
      <c r="Q10" s="56"/>
      <c r="R10" s="56"/>
      <c r="S10" s="52"/>
      <c r="T10" s="53"/>
      <c r="U10" s="56"/>
      <c r="V10" s="56"/>
      <c r="W10" s="56"/>
      <c r="X10" s="56"/>
      <c r="Y10" s="52"/>
      <c r="Z10" s="53"/>
      <c r="AA10" s="56"/>
      <c r="AB10" s="56"/>
      <c r="AC10" s="52"/>
      <c r="AD10" s="53"/>
      <c r="AE10" s="56"/>
      <c r="AF10" s="56"/>
      <c r="AG10" s="52"/>
      <c r="AH10" s="53"/>
      <c r="AI10" s="56"/>
      <c r="AJ10" s="56"/>
      <c r="AK10" s="52"/>
      <c r="AL10" s="53"/>
      <c r="AM10" s="56"/>
      <c r="AN10" s="56"/>
      <c r="AO10" s="52"/>
      <c r="AP10" s="53"/>
      <c r="AQ10" s="56"/>
      <c r="AR10" s="56"/>
      <c r="AS10" s="54"/>
    </row>
    <row r="11" spans="1:119" ht="12.75" customHeight="1" x14ac:dyDescent="0.2">
      <c r="A11" s="6"/>
      <c r="B11" s="33" t="s">
        <v>452</v>
      </c>
      <c r="C11" s="7"/>
      <c r="D11" s="8"/>
      <c r="E11" s="56">
        <v>0</v>
      </c>
      <c r="F11" s="197">
        <v>0</v>
      </c>
      <c r="G11" s="7"/>
      <c r="H11" s="8"/>
      <c r="I11" s="56">
        <v>0</v>
      </c>
      <c r="J11" s="197">
        <v>0</v>
      </c>
      <c r="K11" s="7"/>
      <c r="L11" s="8"/>
      <c r="M11" s="56">
        <v>0</v>
      </c>
      <c r="N11" s="197">
        <v>0</v>
      </c>
      <c r="O11" s="7"/>
      <c r="P11" s="8"/>
      <c r="Q11" s="56">
        <v>0</v>
      </c>
      <c r="R11" s="197">
        <v>0</v>
      </c>
      <c r="S11" s="7"/>
      <c r="T11" s="8"/>
      <c r="U11" s="56">
        <v>0</v>
      </c>
      <c r="V11" s="56"/>
      <c r="W11" s="56">
        <v>0</v>
      </c>
      <c r="X11" s="197">
        <v>0</v>
      </c>
      <c r="Y11" s="7"/>
      <c r="Z11" s="8"/>
      <c r="AA11" s="56">
        <v>0</v>
      </c>
      <c r="AB11" s="197">
        <v>0</v>
      </c>
      <c r="AC11" s="7"/>
      <c r="AD11" s="8"/>
      <c r="AE11" s="56">
        <v>0</v>
      </c>
      <c r="AF11" s="197">
        <v>0</v>
      </c>
      <c r="AG11" s="7"/>
      <c r="AH11" s="8"/>
      <c r="AI11" s="56">
        <v>0</v>
      </c>
      <c r="AJ11" s="197"/>
      <c r="AK11" s="7"/>
      <c r="AL11" s="8"/>
      <c r="AM11" s="56">
        <v>25</v>
      </c>
      <c r="AN11" s="197">
        <v>17</v>
      </c>
      <c r="AO11" s="7"/>
      <c r="AP11" s="8"/>
      <c r="AQ11" s="56">
        <v>0</v>
      </c>
      <c r="AR11" s="197">
        <v>0</v>
      </c>
      <c r="AS11" s="6"/>
    </row>
    <row r="12" spans="1:119" ht="12.75" customHeight="1" x14ac:dyDescent="0.2">
      <c r="A12" s="6"/>
      <c r="B12" s="33" t="s">
        <v>453</v>
      </c>
      <c r="C12" s="52"/>
      <c r="D12" s="53"/>
      <c r="E12" s="56">
        <v>1328</v>
      </c>
      <c r="F12" s="56">
        <v>608</v>
      </c>
      <c r="G12" s="52"/>
      <c r="H12" s="53"/>
      <c r="I12" s="56">
        <v>1378</v>
      </c>
      <c r="J12" s="56">
        <v>4968.973</v>
      </c>
      <c r="K12" s="52"/>
      <c r="L12" s="53"/>
      <c r="M12" s="56">
        <f>100+44.475+25</f>
        <v>169.47499999999999</v>
      </c>
      <c r="N12" s="56">
        <f>304.4</f>
        <v>304.39999999999998</v>
      </c>
      <c r="O12" s="52"/>
      <c r="P12" s="53"/>
      <c r="Q12" s="56">
        <v>0</v>
      </c>
      <c r="R12" s="56">
        <v>0</v>
      </c>
      <c r="S12" s="52"/>
      <c r="T12" s="53"/>
      <c r="U12" s="56">
        <v>0</v>
      </c>
      <c r="V12" s="56"/>
      <c r="W12" s="56">
        <v>0</v>
      </c>
      <c r="X12" s="56">
        <v>0</v>
      </c>
      <c r="Y12" s="52"/>
      <c r="Z12" s="53"/>
      <c r="AA12" s="56">
        <v>81.472999999999999</v>
      </c>
      <c r="AB12" s="56">
        <v>82.528999999999996</v>
      </c>
      <c r="AC12" s="52"/>
      <c r="AD12" s="53"/>
      <c r="AE12" s="56">
        <v>2563.4720000000002</v>
      </c>
      <c r="AF12" s="56">
        <v>2695.09</v>
      </c>
      <c r="AG12" s="52"/>
      <c r="AH12" s="53"/>
      <c r="AI12" s="56">
        <v>209.702</v>
      </c>
      <c r="AJ12" s="56"/>
      <c r="AK12" s="52"/>
      <c r="AL12" s="53"/>
      <c r="AM12" s="56">
        <v>20041</v>
      </c>
      <c r="AN12" s="56">
        <v>19630</v>
      </c>
      <c r="AO12" s="52"/>
      <c r="AP12" s="53"/>
      <c r="AQ12" s="56">
        <v>75</v>
      </c>
      <c r="AR12" s="56">
        <v>55</v>
      </c>
      <c r="AS12" s="54"/>
    </row>
    <row r="13" spans="1:119" ht="12.75" customHeight="1" x14ac:dyDescent="0.2">
      <c r="A13" s="58"/>
      <c r="B13" s="59" t="s">
        <v>124</v>
      </c>
      <c r="C13" s="63"/>
      <c r="D13" s="64"/>
      <c r="E13" s="43">
        <f>6+800</f>
        <v>806</v>
      </c>
      <c r="F13" s="43">
        <f>3020+284</f>
        <v>3304</v>
      </c>
      <c r="G13" s="63"/>
      <c r="H13" s="64"/>
      <c r="I13" s="61">
        <f>I14-I11-I12</f>
        <v>9.9999999999909051E-2</v>
      </c>
      <c r="J13" s="61">
        <f>J14-J11-J12</f>
        <v>221.63700000000063</v>
      </c>
      <c r="K13" s="63"/>
      <c r="L13" s="64"/>
      <c r="M13" s="61">
        <f>M14-M11-M12</f>
        <v>70.004000000000019</v>
      </c>
      <c r="N13" s="61">
        <f>N14-N11-N12</f>
        <v>39.300000000000011</v>
      </c>
      <c r="O13" s="63"/>
      <c r="P13" s="64"/>
      <c r="Q13" s="61">
        <f>Q14-Q11-Q12</f>
        <v>57744</v>
      </c>
      <c r="R13" s="61">
        <f>R14-R11-R12</f>
        <v>54822</v>
      </c>
      <c r="S13" s="63"/>
      <c r="T13" s="64"/>
      <c r="U13" s="61">
        <v>0</v>
      </c>
      <c r="V13" s="61"/>
      <c r="W13" s="61">
        <f>W14-W12</f>
        <v>26564</v>
      </c>
      <c r="X13" s="61">
        <f>X14-X12</f>
        <v>19466</v>
      </c>
      <c r="Y13" s="63"/>
      <c r="Z13" s="64"/>
      <c r="AA13" s="61">
        <f>AA14-AA12</f>
        <v>1135.2260000000001</v>
      </c>
      <c r="AB13" s="61">
        <f>AB14-AB12</f>
        <v>1111.057</v>
      </c>
      <c r="AC13" s="63"/>
      <c r="AD13" s="64"/>
      <c r="AE13" s="61">
        <f>AE14-AE12-AE11</f>
        <v>4684.9439999999995</v>
      </c>
      <c r="AF13" s="61">
        <f>AF14-AF12-AF11</f>
        <v>3922.6790000000001</v>
      </c>
      <c r="AG13" s="63"/>
      <c r="AH13" s="64"/>
      <c r="AI13" s="61">
        <v>0</v>
      </c>
      <c r="AJ13" s="61"/>
      <c r="AK13" s="63"/>
      <c r="AL13" s="64"/>
      <c r="AM13" s="61">
        <f>AM14-AM11-AM12</f>
        <v>153410</v>
      </c>
      <c r="AN13" s="61">
        <f>AN14-AN11-AN12</f>
        <v>141661</v>
      </c>
      <c r="AO13" s="63"/>
      <c r="AP13" s="64"/>
      <c r="AQ13" s="61">
        <v>0</v>
      </c>
      <c r="AR13" s="61">
        <v>0</v>
      </c>
      <c r="AS13" s="58"/>
    </row>
    <row r="14" spans="1:119" ht="12.75" customHeight="1" x14ac:dyDescent="0.25">
      <c r="A14" s="6" t="s">
        <v>401</v>
      </c>
      <c r="B14" s="65"/>
      <c r="C14" s="7"/>
      <c r="D14" s="8"/>
      <c r="E14" s="51">
        <f>SUM(E11:E13)</f>
        <v>2134</v>
      </c>
      <c r="F14" s="51">
        <f>SUM(F11:F13)</f>
        <v>3912</v>
      </c>
      <c r="G14" s="7"/>
      <c r="H14" s="8"/>
      <c r="I14" s="56">
        <f>1410.001-I7</f>
        <v>1378.1</v>
      </c>
      <c r="J14" s="56">
        <f>5191.685-J7</f>
        <v>5190.6100000000006</v>
      </c>
      <c r="K14" s="7"/>
      <c r="L14" s="8"/>
      <c r="M14" s="56">
        <f>281.134-M7</f>
        <v>239.47900000000001</v>
      </c>
      <c r="N14" s="56">
        <f>344.513-N7</f>
        <v>343.7</v>
      </c>
      <c r="O14" s="7"/>
      <c r="P14" s="8"/>
      <c r="Q14" s="56">
        <v>57744</v>
      </c>
      <c r="R14" s="56">
        <v>54822</v>
      </c>
      <c r="S14" s="7"/>
      <c r="T14" s="8"/>
      <c r="U14" s="56">
        <v>0</v>
      </c>
      <c r="V14" s="56"/>
      <c r="W14" s="56">
        <f>26564</f>
        <v>26564</v>
      </c>
      <c r="X14" s="56">
        <v>19466</v>
      </c>
      <c r="Y14" s="7"/>
      <c r="Z14" s="8"/>
      <c r="AA14" s="56">
        <f>1216.699</f>
        <v>1216.6990000000001</v>
      </c>
      <c r="AB14" s="56">
        <f>1193.586</f>
        <v>1193.586</v>
      </c>
      <c r="AC14" s="7"/>
      <c r="AD14" s="8"/>
      <c r="AE14" s="56">
        <v>7248.4160000000002</v>
      </c>
      <c r="AF14" s="56">
        <v>6617.7690000000002</v>
      </c>
      <c r="AG14" s="7"/>
      <c r="AH14" s="8"/>
      <c r="AI14" s="56">
        <f>AI12</f>
        <v>209.702</v>
      </c>
      <c r="AJ14" s="56"/>
      <c r="AK14" s="7"/>
      <c r="AL14" s="8"/>
      <c r="AM14" s="56">
        <f>168148-AM7+7942</f>
        <v>173476</v>
      </c>
      <c r="AN14" s="56">
        <f>164290-AN7</f>
        <v>161308</v>
      </c>
      <c r="AO14" s="7"/>
      <c r="AP14" s="8"/>
      <c r="AQ14" s="56">
        <f>SUM(AQ11:AQ13)</f>
        <v>75</v>
      </c>
      <c r="AR14" s="56">
        <f>SUM(AR11:AR13)</f>
        <v>55</v>
      </c>
      <c r="AS14" s="6"/>
    </row>
    <row r="15" spans="1:119" ht="12.75" customHeight="1" x14ac:dyDescent="0.2">
      <c r="A15" s="6"/>
      <c r="B15" s="65"/>
      <c r="C15" s="7"/>
      <c r="D15" s="8"/>
      <c r="E15" s="51"/>
      <c r="F15" s="51"/>
      <c r="G15" s="7"/>
      <c r="H15" s="8"/>
      <c r="I15" s="51"/>
      <c r="J15" s="51"/>
      <c r="K15" s="7"/>
      <c r="L15" s="8"/>
      <c r="M15" s="51"/>
      <c r="N15" s="51"/>
      <c r="O15" s="7"/>
      <c r="P15" s="8"/>
      <c r="Q15" s="51"/>
      <c r="R15" s="51"/>
      <c r="S15" s="7"/>
      <c r="T15" s="8"/>
      <c r="U15" s="51"/>
      <c r="V15" s="51"/>
      <c r="W15" s="51"/>
      <c r="X15" s="51"/>
      <c r="Y15" s="7"/>
      <c r="Z15" s="8"/>
      <c r="AA15" s="51"/>
      <c r="AB15" s="51"/>
      <c r="AC15" s="7"/>
      <c r="AD15" s="8"/>
      <c r="AE15" s="51"/>
      <c r="AF15" s="51"/>
      <c r="AG15" s="7"/>
      <c r="AH15" s="8"/>
      <c r="AI15" s="51"/>
      <c r="AJ15" s="51"/>
      <c r="AK15" s="7"/>
      <c r="AL15" s="8"/>
      <c r="AM15" s="51"/>
      <c r="AN15" s="51"/>
      <c r="AO15" s="7"/>
      <c r="AP15" s="8"/>
      <c r="AQ15" s="51"/>
      <c r="AR15" s="51"/>
      <c r="AS15" s="6"/>
    </row>
    <row r="16" spans="1:119" ht="12.75" customHeight="1" x14ac:dyDescent="0.2">
      <c r="A16" s="54"/>
      <c r="B16" s="33" t="s">
        <v>126</v>
      </c>
      <c r="C16" s="52"/>
      <c r="D16" s="53">
        <v>-84</v>
      </c>
      <c r="E16" s="56">
        <v>280</v>
      </c>
      <c r="F16" s="68">
        <v>161</v>
      </c>
      <c r="G16" s="52"/>
      <c r="H16" s="53"/>
      <c r="I16" s="56">
        <v>0</v>
      </c>
      <c r="J16" s="68">
        <v>0</v>
      </c>
      <c r="K16" s="52"/>
      <c r="L16" s="53"/>
      <c r="M16" s="56">
        <v>0</v>
      </c>
      <c r="N16" s="68">
        <v>0</v>
      </c>
      <c r="O16" s="52"/>
      <c r="P16" s="53"/>
      <c r="Q16" s="68">
        <v>12376</v>
      </c>
      <c r="R16" s="68">
        <v>10658</v>
      </c>
      <c r="S16" s="52"/>
      <c r="T16" s="53"/>
      <c r="U16" s="56">
        <v>0</v>
      </c>
      <c r="V16" s="56"/>
      <c r="W16" s="56">
        <v>0</v>
      </c>
      <c r="X16" s="68">
        <v>0</v>
      </c>
      <c r="Y16" s="52"/>
      <c r="Z16" s="53"/>
      <c r="AA16" s="56">
        <v>0</v>
      </c>
      <c r="AB16" s="68">
        <v>0</v>
      </c>
      <c r="AC16" s="52"/>
      <c r="AD16" s="53"/>
      <c r="AE16" s="56">
        <v>188.458</v>
      </c>
      <c r="AF16" s="68">
        <v>342.173</v>
      </c>
      <c r="AG16" s="52"/>
      <c r="AH16" s="53"/>
      <c r="AI16" s="56">
        <v>263</v>
      </c>
      <c r="AJ16" s="68"/>
      <c r="AK16" s="52"/>
      <c r="AL16" s="53"/>
      <c r="AM16" s="56">
        <v>315</v>
      </c>
      <c r="AN16" s="68">
        <v>88</v>
      </c>
      <c r="AO16" s="52"/>
      <c r="AP16" s="53"/>
      <c r="AQ16" s="56">
        <f>52+14</f>
        <v>66</v>
      </c>
      <c r="AR16" s="68">
        <f>21+4</f>
        <v>25</v>
      </c>
      <c r="AS16" s="54"/>
    </row>
    <row r="17" spans="1:45" ht="12.75" customHeight="1" x14ac:dyDescent="0.2">
      <c r="A17" s="54"/>
      <c r="B17" s="33" t="s">
        <v>127</v>
      </c>
      <c r="C17" s="52"/>
      <c r="D17" s="53">
        <v>45</v>
      </c>
      <c r="E17" s="68">
        <v>164</v>
      </c>
      <c r="F17" s="68">
        <v>0</v>
      </c>
      <c r="G17" s="52"/>
      <c r="H17" s="53"/>
      <c r="I17" s="56">
        <v>0</v>
      </c>
      <c r="J17" s="68">
        <v>0</v>
      </c>
      <c r="K17" s="52"/>
      <c r="L17" s="53"/>
      <c r="M17" s="56">
        <v>0</v>
      </c>
      <c r="N17" s="68">
        <v>0</v>
      </c>
      <c r="O17" s="52"/>
      <c r="P17" s="53"/>
      <c r="Q17" s="68">
        <v>0</v>
      </c>
      <c r="R17" s="68">
        <v>0</v>
      </c>
      <c r="S17" s="52"/>
      <c r="T17" s="53"/>
      <c r="U17" s="56">
        <v>0</v>
      </c>
      <c r="V17" s="56"/>
      <c r="W17" s="56">
        <v>0</v>
      </c>
      <c r="X17" s="68">
        <v>0</v>
      </c>
      <c r="Y17" s="52"/>
      <c r="Z17" s="53"/>
      <c r="AA17" s="56">
        <v>0</v>
      </c>
      <c r="AB17" s="68">
        <v>0</v>
      </c>
      <c r="AC17" s="52"/>
      <c r="AD17" s="53"/>
      <c r="AE17" s="68">
        <v>2270.277</v>
      </c>
      <c r="AF17" s="68">
        <v>403.24799999999999</v>
      </c>
      <c r="AG17" s="52"/>
      <c r="AH17" s="53"/>
      <c r="AI17" s="68">
        <v>53.442</v>
      </c>
      <c r="AJ17" s="68"/>
      <c r="AK17" s="52"/>
      <c r="AL17" s="53"/>
      <c r="AM17" s="68">
        <v>174</v>
      </c>
      <c r="AN17" s="68">
        <v>52</v>
      </c>
      <c r="AO17" s="52"/>
      <c r="AP17" s="53"/>
      <c r="AQ17" s="68">
        <v>0</v>
      </c>
      <c r="AR17" s="68">
        <v>0</v>
      </c>
      <c r="AS17" s="54"/>
    </row>
    <row r="18" spans="1:45" ht="12.75" customHeight="1" x14ac:dyDescent="0.2">
      <c r="A18" s="58"/>
      <c r="B18" s="59" t="s">
        <v>128</v>
      </c>
      <c r="C18" s="63"/>
      <c r="D18" s="64"/>
      <c r="E18" s="61">
        <f>E19-E16-E17</f>
        <v>3156</v>
      </c>
      <c r="F18" s="61">
        <f>F19-F16-F17</f>
        <v>1966</v>
      </c>
      <c r="G18" s="63"/>
      <c r="H18" s="64"/>
      <c r="I18" s="61">
        <f>I19-I16-I17</f>
        <v>1215.5050000000001</v>
      </c>
      <c r="J18" s="61">
        <f>J19-J16-J17</f>
        <v>6153.7150000000001</v>
      </c>
      <c r="K18" s="63"/>
      <c r="L18" s="64"/>
      <c r="M18" s="61">
        <f>M19-M16-M17</f>
        <v>121.29300000000002</v>
      </c>
      <c r="N18" s="61">
        <f>N19-N16-N17</f>
        <v>302.51299999999998</v>
      </c>
      <c r="O18" s="63"/>
      <c r="P18" s="64"/>
      <c r="Q18" s="61">
        <f>Q19-Q16-Q17</f>
        <v>47513</v>
      </c>
      <c r="R18" s="61">
        <f>R19-R16-R17</f>
        <v>44882</v>
      </c>
      <c r="S18" s="63"/>
      <c r="T18" s="64"/>
      <c r="U18" s="61">
        <f>U19-U16-U17</f>
        <v>181.94400000000002</v>
      </c>
      <c r="V18" s="61"/>
      <c r="W18" s="61">
        <f>W19-W16-W17</f>
        <v>22978</v>
      </c>
      <c r="X18" s="61">
        <f>X19-X16-X17</f>
        <v>15063</v>
      </c>
      <c r="Y18" s="63"/>
      <c r="Z18" s="64"/>
      <c r="AA18" s="61">
        <f>AA19-AA16-AA17</f>
        <v>1555.1769999999999</v>
      </c>
      <c r="AB18" s="61">
        <f>AB19-AB16-AB17</f>
        <v>420.81399999999985</v>
      </c>
      <c r="AC18" s="63"/>
      <c r="AD18" s="64"/>
      <c r="AE18" s="61">
        <f>AE19-AE16-AE17</f>
        <v>12716.355</v>
      </c>
      <c r="AF18" s="61">
        <f>AF19-AF16-AF17</f>
        <v>9799.4339999999993</v>
      </c>
      <c r="AG18" s="63"/>
      <c r="AH18" s="64"/>
      <c r="AI18" s="61">
        <f>AI19-AI16-AI17</f>
        <v>672.31000000000006</v>
      </c>
      <c r="AJ18" s="61"/>
      <c r="AK18" s="63"/>
      <c r="AL18" s="64"/>
      <c r="AM18" s="61">
        <f>AM19-AM16-AM17</f>
        <v>155923</v>
      </c>
      <c r="AN18" s="61">
        <f>AN19-AN16-AN17</f>
        <v>153451</v>
      </c>
      <c r="AO18" s="63"/>
      <c r="AP18" s="64"/>
      <c r="AQ18" s="61">
        <f>AQ19-AQ16-AQ17</f>
        <v>978</v>
      </c>
      <c r="AR18" s="61">
        <f>AR19-AR16-AR17</f>
        <v>340</v>
      </c>
      <c r="AS18" s="58"/>
    </row>
    <row r="19" spans="1:45" ht="12.75" customHeight="1" x14ac:dyDescent="0.2">
      <c r="A19" s="69" t="s">
        <v>129</v>
      </c>
      <c r="B19" s="33"/>
      <c r="C19" s="52"/>
      <c r="D19" s="53"/>
      <c r="E19" s="56">
        <v>3600</v>
      </c>
      <c r="F19" s="56">
        <v>2127</v>
      </c>
      <c r="G19" s="52"/>
      <c r="H19" s="53"/>
      <c r="I19" s="56">
        <f>1410.001+141.239-I8</f>
        <v>1215.5050000000001</v>
      </c>
      <c r="J19" s="56">
        <f>5191.685+1311.36-J8</f>
        <v>6153.7150000000001</v>
      </c>
      <c r="K19" s="52"/>
      <c r="L19" s="53"/>
      <c r="M19" s="56">
        <f>281.134-89.315-M8</f>
        <v>121.29300000000002</v>
      </c>
      <c r="N19" s="56">
        <f>344.513-42-N8</f>
        <v>302.51299999999998</v>
      </c>
      <c r="O19" s="52"/>
      <c r="P19" s="53"/>
      <c r="Q19" s="56">
        <f>45479+12376+2034</f>
        <v>59889</v>
      </c>
      <c r="R19" s="56">
        <f>10658+2121+42761</f>
        <v>55540</v>
      </c>
      <c r="S19" s="52"/>
      <c r="T19" s="53"/>
      <c r="U19" s="56">
        <f>202.322-U8</f>
        <v>181.94400000000002</v>
      </c>
      <c r="V19" s="56"/>
      <c r="W19" s="56">
        <f>28429-3396-W8</f>
        <v>22978</v>
      </c>
      <c r="X19" s="56">
        <f>20570-5281-X8</f>
        <v>15063</v>
      </c>
      <c r="Y19" s="52"/>
      <c r="Z19" s="53"/>
      <c r="AA19" s="56">
        <f>1683.282-128.105</f>
        <v>1555.1769999999999</v>
      </c>
      <c r="AB19" s="56">
        <f>1216.504-795.69</f>
        <v>420.81399999999985</v>
      </c>
      <c r="AC19" s="52"/>
      <c r="AD19" s="53"/>
      <c r="AE19" s="56">
        <f>19012.503-AE8</f>
        <v>15175.09</v>
      </c>
      <c r="AF19" s="56">
        <f>12622.052-AF8</f>
        <v>10544.855</v>
      </c>
      <c r="AG19" s="52"/>
      <c r="AH19" s="53"/>
      <c r="AI19" s="56">
        <f>1319.894-AI8+(2464.989-1890.885)</f>
        <v>988.75200000000007</v>
      </c>
      <c r="AJ19" s="56"/>
      <c r="AK19" s="52"/>
      <c r="AL19" s="53"/>
      <c r="AM19" s="56">
        <f>168148-10165-AM8</f>
        <v>156412</v>
      </c>
      <c r="AN19" s="56">
        <f>164290-8781-AN8</f>
        <v>153591</v>
      </c>
      <c r="AO19" s="52"/>
      <c r="AP19" s="53"/>
      <c r="AQ19" s="56">
        <f>1631-57-AQ8</f>
        <v>1044</v>
      </c>
      <c r="AR19" s="56">
        <f>1176-438-AR8</f>
        <v>365</v>
      </c>
      <c r="AS19" s="54"/>
    </row>
    <row r="20" spans="1:45" ht="12.75" customHeight="1" x14ac:dyDescent="0.2">
      <c r="A20" s="69"/>
      <c r="B20" s="33"/>
      <c r="C20" s="52"/>
      <c r="D20" s="53"/>
      <c r="E20" s="51"/>
      <c r="F20" s="51"/>
      <c r="G20" s="52"/>
      <c r="H20" s="53"/>
      <c r="I20" s="51"/>
      <c r="J20" s="51"/>
      <c r="K20" s="52"/>
      <c r="L20" s="53"/>
      <c r="M20" s="51"/>
      <c r="N20" s="51"/>
      <c r="O20" s="52"/>
      <c r="P20" s="53"/>
      <c r="Q20" s="51"/>
      <c r="R20" s="51"/>
      <c r="S20" s="52"/>
      <c r="T20" s="53"/>
      <c r="U20" s="51"/>
      <c r="V20" s="51"/>
      <c r="W20" s="51"/>
      <c r="X20" s="51"/>
      <c r="Y20" s="52"/>
      <c r="Z20" s="53"/>
      <c r="AA20" s="51"/>
      <c r="AB20" s="51"/>
      <c r="AC20" s="52"/>
      <c r="AD20" s="53"/>
      <c r="AE20" s="51"/>
      <c r="AF20" s="51"/>
      <c r="AG20" s="52"/>
      <c r="AH20" s="53"/>
      <c r="AI20" s="51"/>
      <c r="AJ20" s="51"/>
      <c r="AK20" s="52"/>
      <c r="AL20" s="53"/>
      <c r="AM20" s="51"/>
      <c r="AN20" s="51"/>
      <c r="AO20" s="52"/>
      <c r="AP20" s="53"/>
      <c r="AQ20" s="51"/>
      <c r="AR20" s="51"/>
      <c r="AS20" s="54"/>
    </row>
    <row r="21" spans="1:45" ht="12.75" customHeight="1" x14ac:dyDescent="0.2">
      <c r="A21" s="69"/>
      <c r="B21" s="33" t="s">
        <v>130</v>
      </c>
      <c r="C21" s="52"/>
      <c r="D21" s="53"/>
      <c r="E21" s="51">
        <f>E9+E14-E19</f>
        <v>1745</v>
      </c>
      <c r="F21" s="51">
        <f>F9+F14-F19</f>
        <v>2551</v>
      </c>
      <c r="G21" s="52"/>
      <c r="H21" s="53"/>
      <c r="I21" s="51">
        <f>I9+I14-I19</f>
        <v>-141.23900000000026</v>
      </c>
      <c r="J21" s="51">
        <f>J9+J14-J19</f>
        <v>-1311.3599999999997</v>
      </c>
      <c r="K21" s="52"/>
      <c r="L21" s="53"/>
      <c r="M21" s="51">
        <f>M9+M14-M19</f>
        <v>89.314999999999984</v>
      </c>
      <c r="N21" s="51">
        <f>N9+N14-N19</f>
        <v>42</v>
      </c>
      <c r="O21" s="52"/>
      <c r="P21" s="53"/>
      <c r="Q21" s="51">
        <f>Q9+Q14-Q19</f>
        <v>66363</v>
      </c>
      <c r="R21" s="51">
        <f>R9+R14-R19</f>
        <v>63628</v>
      </c>
      <c r="S21" s="52"/>
      <c r="T21" s="53"/>
      <c r="U21" s="51">
        <f>U9+U14-U19</f>
        <v>-183.66900000000001</v>
      </c>
      <c r="V21" s="51"/>
      <c r="W21" s="51">
        <f>W9+W14-W19</f>
        <v>3396</v>
      </c>
      <c r="X21" s="51">
        <f>X9+X14-X19</f>
        <v>5281</v>
      </c>
      <c r="Y21" s="52"/>
      <c r="Z21" s="53"/>
      <c r="AA21" s="51">
        <f>AA9+AA14-AA19</f>
        <v>1231.9329999999998</v>
      </c>
      <c r="AB21" s="51">
        <f>AB9+AB14-AB19</f>
        <v>2223.6370000000002</v>
      </c>
      <c r="AC21" s="52"/>
      <c r="AD21" s="53"/>
      <c r="AE21" s="51">
        <f>AE9+AE14-AE19</f>
        <v>2586.351999999999</v>
      </c>
      <c r="AF21" s="51">
        <f>AF9+AF14-AF19</f>
        <v>2151.8340000000007</v>
      </c>
      <c r="AG21" s="52"/>
      <c r="AH21" s="53"/>
      <c r="AI21" s="51">
        <f>AI9+AI14-AI19</f>
        <v>570.99099999999964</v>
      </c>
      <c r="AJ21" s="51"/>
      <c r="AK21" s="52"/>
      <c r="AL21" s="53"/>
      <c r="AM21" s="51">
        <f>AM9+AM14-AM19</f>
        <v>18107</v>
      </c>
      <c r="AN21" s="51">
        <f>AN9+AN14-AN19</f>
        <v>8781</v>
      </c>
      <c r="AO21" s="52"/>
      <c r="AP21" s="53"/>
      <c r="AQ21" s="51">
        <f>AQ9+AQ14-AQ19</f>
        <v>57</v>
      </c>
      <c r="AR21" s="51">
        <f>AR9+AR14-AR19</f>
        <v>438</v>
      </c>
      <c r="AS21" s="54"/>
    </row>
    <row r="22" spans="1:45" ht="12.75" customHeight="1" x14ac:dyDescent="0.2">
      <c r="A22" s="54"/>
      <c r="B22" s="33"/>
      <c r="C22" s="52"/>
      <c r="D22" s="53"/>
      <c r="E22" s="56"/>
      <c r="F22" s="56"/>
      <c r="G22" s="52"/>
      <c r="H22" s="53"/>
      <c r="I22" s="56"/>
      <c r="J22" s="56"/>
      <c r="K22" s="52"/>
      <c r="L22" s="53"/>
      <c r="M22" s="56"/>
      <c r="N22" s="56"/>
      <c r="O22" s="52"/>
      <c r="P22" s="53"/>
      <c r="Q22" s="56"/>
      <c r="R22" s="56"/>
      <c r="S22" s="52"/>
      <c r="T22" s="53"/>
      <c r="U22" s="56"/>
      <c r="V22" s="56"/>
      <c r="W22" s="56"/>
      <c r="X22" s="56"/>
      <c r="Y22" s="52"/>
      <c r="Z22" s="53"/>
      <c r="AA22" s="56"/>
      <c r="AB22" s="56"/>
      <c r="AC22" s="52"/>
      <c r="AD22" s="53"/>
      <c r="AE22" s="56"/>
      <c r="AF22" s="56"/>
      <c r="AG22" s="52"/>
      <c r="AH22" s="53"/>
      <c r="AI22" s="56"/>
      <c r="AJ22" s="56"/>
      <c r="AK22" s="52"/>
      <c r="AL22" s="53"/>
      <c r="AM22" s="56"/>
      <c r="AN22" s="56"/>
      <c r="AO22" s="52"/>
      <c r="AP22" s="53"/>
      <c r="AQ22" s="56"/>
      <c r="AR22" s="56"/>
      <c r="AS22" s="54"/>
    </row>
    <row r="23" spans="1:45" ht="12.75" customHeight="1" x14ac:dyDescent="0.2">
      <c r="A23" s="38"/>
      <c r="B23" s="39" t="s">
        <v>131</v>
      </c>
      <c r="C23" s="46"/>
      <c r="D23" s="47"/>
      <c r="E23" s="43">
        <v>-657</v>
      </c>
      <c r="F23" s="43">
        <v>325</v>
      </c>
      <c r="G23" s="46"/>
      <c r="H23" s="47"/>
      <c r="I23" s="43">
        <v>0</v>
      </c>
      <c r="J23" s="43">
        <v>0</v>
      </c>
      <c r="K23" s="46"/>
      <c r="L23" s="47"/>
      <c r="M23" s="43">
        <v>0</v>
      </c>
      <c r="N23" s="43">
        <v>14</v>
      </c>
      <c r="O23" s="46"/>
      <c r="P23" s="47"/>
      <c r="Q23" s="43">
        <v>22436</v>
      </c>
      <c r="R23" s="43">
        <v>21346</v>
      </c>
      <c r="S23" s="46"/>
      <c r="T23" s="47"/>
      <c r="U23" s="43">
        <v>0</v>
      </c>
      <c r="V23" s="43"/>
      <c r="W23" s="43">
        <v>130</v>
      </c>
      <c r="X23" s="43">
        <v>304</v>
      </c>
      <c r="Y23" s="46"/>
      <c r="Z23" s="47"/>
      <c r="AA23" s="43">
        <f>364.578</f>
        <v>364.57799999999997</v>
      </c>
      <c r="AB23" s="43">
        <f>471.454</f>
        <v>471.45400000000001</v>
      </c>
      <c r="AC23" s="46"/>
      <c r="AD23" s="47"/>
      <c r="AE23" s="43">
        <v>703.524</v>
      </c>
      <c r="AF23" s="43">
        <v>908.596</v>
      </c>
      <c r="AG23" s="46"/>
      <c r="AH23" s="47"/>
      <c r="AI23" s="43">
        <v>188.46899999999999</v>
      </c>
      <c r="AJ23" s="43"/>
      <c r="AK23" s="46"/>
      <c r="AL23" s="47"/>
      <c r="AM23" s="43">
        <v>3749</v>
      </c>
      <c r="AN23" s="43">
        <v>2363</v>
      </c>
      <c r="AO23" s="46"/>
      <c r="AP23" s="47"/>
      <c r="AQ23" s="43">
        <v>21</v>
      </c>
      <c r="AR23" s="43">
        <v>293</v>
      </c>
      <c r="AS23" s="38"/>
    </row>
    <row r="24" spans="1:45" ht="12.75" customHeight="1" x14ac:dyDescent="0.2">
      <c r="A24" s="13" t="s">
        <v>132</v>
      </c>
      <c r="B24" s="70"/>
      <c r="C24" s="72"/>
      <c r="D24" s="73"/>
      <c r="E24" s="32">
        <f>E21-E23</f>
        <v>2402</v>
      </c>
      <c r="F24" s="32">
        <f>F21-F23</f>
        <v>2226</v>
      </c>
      <c r="G24" s="72"/>
      <c r="H24" s="73"/>
      <c r="I24" s="32">
        <f>I21-I23</f>
        <v>-141.23900000000026</v>
      </c>
      <c r="J24" s="32">
        <f>J21-J23</f>
        <v>-1311.3599999999997</v>
      </c>
      <c r="K24" s="72"/>
      <c r="L24" s="73"/>
      <c r="M24" s="32">
        <f>M21-M23</f>
        <v>89.314999999999984</v>
      </c>
      <c r="N24" s="32">
        <f>N21-N23</f>
        <v>28</v>
      </c>
      <c r="O24" s="72"/>
      <c r="P24" s="73"/>
      <c r="Q24" s="32">
        <f>Q21-Q23</f>
        <v>43927</v>
      </c>
      <c r="R24" s="32">
        <f>R21-R23</f>
        <v>42282</v>
      </c>
      <c r="S24" s="72"/>
      <c r="T24" s="73"/>
      <c r="U24" s="32">
        <f>U21-U23</f>
        <v>-183.66900000000001</v>
      </c>
      <c r="V24" s="32"/>
      <c r="W24" s="32">
        <f>W21-W23</f>
        <v>3266</v>
      </c>
      <c r="X24" s="32">
        <f>X21-X23</f>
        <v>4977</v>
      </c>
      <c r="Y24" s="72"/>
      <c r="Z24" s="73"/>
      <c r="AA24" s="32">
        <f>AA21-AA23</f>
        <v>867.35499999999979</v>
      </c>
      <c r="AB24" s="32">
        <f>AB21-AB23</f>
        <v>1752.1830000000002</v>
      </c>
      <c r="AC24" s="72"/>
      <c r="AD24" s="73"/>
      <c r="AE24" s="32">
        <f>AE21-AE23</f>
        <v>1882.8279999999991</v>
      </c>
      <c r="AF24" s="32">
        <f>AF21-AF23</f>
        <v>1243.2380000000007</v>
      </c>
      <c r="AG24" s="72"/>
      <c r="AH24" s="73"/>
      <c r="AI24" s="32">
        <f>AI21-AI23</f>
        <v>382.52199999999965</v>
      </c>
      <c r="AJ24" s="32"/>
      <c r="AK24" s="72"/>
      <c r="AL24" s="73"/>
      <c r="AM24" s="32">
        <f>AM21-AM23</f>
        <v>14358</v>
      </c>
      <c r="AN24" s="32">
        <f>AN21-AN23</f>
        <v>6418</v>
      </c>
      <c r="AO24" s="72"/>
      <c r="AP24" s="73"/>
      <c r="AQ24" s="32">
        <f>AQ21-AQ23</f>
        <v>36</v>
      </c>
      <c r="AR24" s="32">
        <f>AR21-AR23</f>
        <v>145</v>
      </c>
      <c r="AS24" s="74"/>
    </row>
    <row r="25" spans="1:45" ht="12.75" customHeight="1" x14ac:dyDescent="0.2">
      <c r="A25" s="6"/>
      <c r="B25" s="65"/>
      <c r="C25" s="7"/>
      <c r="D25" s="8"/>
      <c r="E25" s="51"/>
      <c r="F25" s="51"/>
      <c r="G25" s="7"/>
      <c r="H25" s="8"/>
      <c r="I25" s="51"/>
      <c r="J25" s="51"/>
      <c r="K25" s="7"/>
      <c r="L25" s="8"/>
      <c r="M25" s="51"/>
      <c r="N25" s="51"/>
      <c r="O25" s="7"/>
      <c r="P25" s="8"/>
      <c r="Q25" s="51"/>
      <c r="R25" s="51"/>
      <c r="S25" s="7"/>
      <c r="T25" s="8"/>
      <c r="U25" s="51"/>
      <c r="V25" s="51"/>
      <c r="W25" s="51"/>
      <c r="X25" s="51"/>
      <c r="Y25" s="7"/>
      <c r="Z25" s="8"/>
      <c r="AA25" s="51"/>
      <c r="AB25" s="51"/>
      <c r="AC25" s="7"/>
      <c r="AD25" s="8"/>
      <c r="AE25" s="51"/>
      <c r="AF25" s="51"/>
      <c r="AG25" s="7"/>
      <c r="AH25" s="8"/>
      <c r="AI25" s="51"/>
      <c r="AJ25" s="51"/>
      <c r="AK25" s="7"/>
      <c r="AL25" s="8"/>
      <c r="AM25" s="51"/>
      <c r="AN25" s="51"/>
      <c r="AO25" s="7"/>
      <c r="AP25" s="8"/>
      <c r="AQ25" s="51"/>
      <c r="AR25" s="51"/>
      <c r="AS25" s="6"/>
    </row>
    <row r="26" spans="1:45" ht="12.75" customHeight="1" x14ac:dyDescent="0.2">
      <c r="A26" s="75" t="s">
        <v>133</v>
      </c>
      <c r="B26" s="76"/>
      <c r="C26" s="72"/>
      <c r="D26" s="73"/>
      <c r="E26" s="35"/>
      <c r="F26" s="35"/>
      <c r="G26" s="72"/>
      <c r="H26" s="73"/>
      <c r="I26" s="35"/>
      <c r="J26" s="35"/>
      <c r="K26" s="72"/>
      <c r="L26" s="73"/>
      <c r="M26" s="35"/>
      <c r="N26" s="35"/>
      <c r="O26" s="72"/>
      <c r="P26" s="73"/>
      <c r="Q26" s="35"/>
      <c r="R26" s="35"/>
      <c r="S26" s="72"/>
      <c r="T26" s="73"/>
      <c r="U26" s="35"/>
      <c r="V26" s="35"/>
      <c r="W26" s="35"/>
      <c r="X26" s="35"/>
      <c r="Y26" s="72"/>
      <c r="Z26" s="73"/>
      <c r="AA26" s="35"/>
      <c r="AB26" s="35"/>
      <c r="AC26" s="72"/>
      <c r="AD26" s="73"/>
      <c r="AE26" s="35"/>
      <c r="AF26" s="35"/>
      <c r="AG26" s="72"/>
      <c r="AH26" s="73"/>
      <c r="AI26" s="35"/>
      <c r="AJ26" s="35"/>
      <c r="AK26" s="72"/>
      <c r="AL26" s="73"/>
      <c r="AM26" s="35"/>
      <c r="AN26" s="35"/>
      <c r="AO26" s="72"/>
      <c r="AP26" s="73"/>
      <c r="AQ26" s="35"/>
      <c r="AR26" s="35"/>
      <c r="AS26" s="74"/>
    </row>
    <row r="27" spans="1:45" ht="12.75" customHeight="1" x14ac:dyDescent="0.2">
      <c r="A27" s="13" t="s">
        <v>134</v>
      </c>
      <c r="B27" s="5"/>
      <c r="E27" s="32"/>
      <c r="F27" s="32"/>
      <c r="I27" s="32"/>
      <c r="J27" s="32"/>
      <c r="M27" s="32"/>
      <c r="N27" s="32"/>
      <c r="Q27" s="32"/>
      <c r="R27" s="32"/>
      <c r="U27" s="32"/>
      <c r="V27" s="32"/>
      <c r="W27" s="32"/>
      <c r="X27" s="32"/>
      <c r="AA27" s="32"/>
      <c r="AB27" s="32"/>
      <c r="AE27" s="32"/>
      <c r="AF27" s="32"/>
      <c r="AI27" s="32"/>
      <c r="AJ27" s="32"/>
      <c r="AM27" s="32"/>
      <c r="AN27" s="32"/>
      <c r="AQ27" s="32"/>
      <c r="AR27" s="32"/>
    </row>
    <row r="28" spans="1:45" ht="12.75" customHeight="1" x14ac:dyDescent="0.2">
      <c r="A28" s="74"/>
      <c r="B28" s="76" t="s">
        <v>135</v>
      </c>
      <c r="C28" s="72"/>
      <c r="D28" s="73"/>
      <c r="E28" s="35">
        <f>31124+123+97735</f>
        <v>128982</v>
      </c>
      <c r="F28" s="35">
        <f>8628+33+55452</f>
        <v>64113</v>
      </c>
      <c r="G28" s="72"/>
      <c r="H28" s="73"/>
      <c r="I28" s="35">
        <f>3819.843+1012.792</f>
        <v>4832.6350000000002</v>
      </c>
      <c r="J28" s="35">
        <f>4794.384+1012.792</f>
        <v>5807.1760000000004</v>
      </c>
      <c r="K28" s="72"/>
      <c r="L28" s="73"/>
      <c r="M28" s="35">
        <f>452+1167.669</f>
        <v>1619.6690000000001</v>
      </c>
      <c r="N28" s="35">
        <f>0</f>
        <v>0</v>
      </c>
      <c r="O28" s="72"/>
      <c r="P28" s="73"/>
      <c r="Q28" s="35">
        <f>2100230-20320</f>
        <v>2079910</v>
      </c>
      <c r="R28" s="35">
        <f>2087070-12099</f>
        <v>2074971</v>
      </c>
      <c r="S28" s="72"/>
      <c r="T28" s="73"/>
      <c r="U28" s="35">
        <v>2101.8119999999999</v>
      </c>
      <c r="V28" s="35"/>
      <c r="W28" s="35">
        <v>35722</v>
      </c>
      <c r="X28" s="35">
        <v>16809</v>
      </c>
      <c r="Y28" s="72"/>
      <c r="Z28" s="73"/>
      <c r="AA28" s="35">
        <v>77434.600000000006</v>
      </c>
      <c r="AB28" s="35">
        <v>61613.684000000001</v>
      </c>
      <c r="AC28" s="72"/>
      <c r="AD28" s="73"/>
      <c r="AE28" s="35">
        <v>39200.731</v>
      </c>
      <c r="AF28" s="35">
        <v>32023.335999999999</v>
      </c>
      <c r="AG28" s="72"/>
      <c r="AH28" s="73"/>
      <c r="AI28" s="35">
        <v>14939.331</v>
      </c>
      <c r="AJ28" s="35"/>
      <c r="AK28" s="72"/>
      <c r="AL28" s="73"/>
      <c r="AM28" s="35">
        <v>42387</v>
      </c>
      <c r="AN28" s="35">
        <v>44200</v>
      </c>
      <c r="AO28" s="72"/>
      <c r="AP28" s="73"/>
      <c r="AQ28" s="35">
        <v>17357</v>
      </c>
      <c r="AR28" s="35">
        <v>9417</v>
      </c>
      <c r="AS28" s="74"/>
    </row>
    <row r="29" spans="1:45" ht="12.75" customHeight="1" x14ac:dyDescent="0.2">
      <c r="A29" s="58"/>
      <c r="B29" s="78" t="s">
        <v>136</v>
      </c>
      <c r="C29" s="63"/>
      <c r="D29" s="64"/>
      <c r="E29" s="61">
        <f>E30-E28</f>
        <v>44080</v>
      </c>
      <c r="F29" s="61">
        <f>F30-F28</f>
        <v>40448</v>
      </c>
      <c r="G29" s="63"/>
      <c r="H29" s="64"/>
      <c r="I29" s="61">
        <f>I30-I28</f>
        <v>13907.171</v>
      </c>
      <c r="J29" s="61">
        <f>J30-J28</f>
        <v>3130.6469999999999</v>
      </c>
      <c r="K29" s="63"/>
      <c r="L29" s="64"/>
      <c r="M29" s="61">
        <f>M30-M28</f>
        <v>1962.597</v>
      </c>
      <c r="N29" s="61">
        <f>N30-N28</f>
        <v>428.11</v>
      </c>
      <c r="O29" s="63"/>
      <c r="P29" s="64"/>
      <c r="Q29" s="61">
        <f>Q30-Q28</f>
        <v>448500</v>
      </c>
      <c r="R29" s="61">
        <f>R30-R28</f>
        <v>418629</v>
      </c>
      <c r="S29" s="63"/>
      <c r="T29" s="64"/>
      <c r="U29" s="61">
        <f>U30-U28</f>
        <v>86.08199999999988</v>
      </c>
      <c r="V29" s="61"/>
      <c r="W29" s="61">
        <f>W30-W28</f>
        <v>23203</v>
      </c>
      <c r="X29" s="61">
        <f>X30-X28</f>
        <v>9627</v>
      </c>
      <c r="Y29" s="63"/>
      <c r="Z29" s="64"/>
      <c r="AA29" s="61">
        <f>AA30-AA28</f>
        <v>11525.869999999995</v>
      </c>
      <c r="AB29" s="61">
        <f>AB30-AB28</f>
        <v>15149.392</v>
      </c>
      <c r="AC29" s="63"/>
      <c r="AD29" s="64"/>
      <c r="AE29" s="61">
        <f>AE30-AE28</f>
        <v>8223.7869999999966</v>
      </c>
      <c r="AF29" s="61">
        <f>AF30-AF28</f>
        <v>7030.591000000004</v>
      </c>
      <c r="AG29" s="63"/>
      <c r="AH29" s="64"/>
      <c r="AI29" s="61">
        <f>AI30-AI28</f>
        <v>1227.5849999999991</v>
      </c>
      <c r="AJ29" s="61"/>
      <c r="AK29" s="63"/>
      <c r="AL29" s="64"/>
      <c r="AM29" s="61">
        <f>AM30-AM28</f>
        <v>42551</v>
      </c>
      <c r="AN29" s="61">
        <f>AN30-AN28</f>
        <v>59390</v>
      </c>
      <c r="AO29" s="63"/>
      <c r="AP29" s="64"/>
      <c r="AQ29" s="61">
        <f>AQ30-AQ28</f>
        <v>35</v>
      </c>
      <c r="AR29" s="61">
        <f>AR30-AR28</f>
        <v>1454</v>
      </c>
      <c r="AS29" s="58"/>
    </row>
    <row r="30" spans="1:45" ht="12.75" customHeight="1" x14ac:dyDescent="0.2">
      <c r="A30" s="74" t="s">
        <v>137</v>
      </c>
      <c r="B30" s="33"/>
      <c r="C30" s="72"/>
      <c r="D30" s="73"/>
      <c r="E30" s="35">
        <f>173062</f>
        <v>173062</v>
      </c>
      <c r="F30" s="35">
        <f>104561</f>
        <v>104561</v>
      </c>
      <c r="G30" s="72"/>
      <c r="H30" s="73"/>
      <c r="I30" s="35">
        <f>18739.806</f>
        <v>18739.806</v>
      </c>
      <c r="J30" s="35">
        <f>8937.823</f>
        <v>8937.8230000000003</v>
      </c>
      <c r="K30" s="72"/>
      <c r="L30" s="73"/>
      <c r="M30" s="35">
        <f>3582.266</f>
        <v>3582.2660000000001</v>
      </c>
      <c r="N30" s="35">
        <f>428.11</f>
        <v>428.11</v>
      </c>
      <c r="O30" s="72"/>
      <c r="P30" s="73"/>
      <c r="Q30" s="35">
        <f>2528410</f>
        <v>2528410</v>
      </c>
      <c r="R30" s="35">
        <v>2493600</v>
      </c>
      <c r="S30" s="72"/>
      <c r="T30" s="73"/>
      <c r="U30" s="35">
        <f>2187.894</f>
        <v>2187.8939999999998</v>
      </c>
      <c r="V30" s="35"/>
      <c r="W30" s="35">
        <v>58925</v>
      </c>
      <c r="X30" s="35">
        <v>26436</v>
      </c>
      <c r="Y30" s="72"/>
      <c r="Z30" s="73"/>
      <c r="AA30" s="35">
        <f>88960.47</f>
        <v>88960.47</v>
      </c>
      <c r="AB30" s="35">
        <f>76763.076</f>
        <v>76763.076000000001</v>
      </c>
      <c r="AC30" s="72"/>
      <c r="AD30" s="73"/>
      <c r="AE30" s="35">
        <f>47424.518</f>
        <v>47424.517999999996</v>
      </c>
      <c r="AF30" s="35">
        <v>39053.927000000003</v>
      </c>
      <c r="AG30" s="72"/>
      <c r="AH30" s="73"/>
      <c r="AI30" s="35">
        <v>16166.915999999999</v>
      </c>
      <c r="AJ30" s="35"/>
      <c r="AK30" s="72"/>
      <c r="AL30" s="73"/>
      <c r="AM30" s="35">
        <v>84938</v>
      </c>
      <c r="AN30" s="35">
        <v>103590</v>
      </c>
      <c r="AO30" s="72"/>
      <c r="AP30" s="73"/>
      <c r="AQ30" s="35">
        <f>17392</f>
        <v>17392</v>
      </c>
      <c r="AR30" s="35">
        <v>10871</v>
      </c>
      <c r="AS30" s="74"/>
    </row>
    <row r="31" spans="1:45" ht="12.75" customHeight="1" x14ac:dyDescent="0.2">
      <c r="A31" s="74"/>
      <c r="B31" s="33"/>
      <c r="C31" s="72"/>
      <c r="D31" s="73"/>
      <c r="E31" s="35"/>
      <c r="F31" s="35"/>
      <c r="G31" s="72"/>
      <c r="H31" s="73"/>
      <c r="I31" s="35"/>
      <c r="J31" s="35"/>
      <c r="K31" s="72"/>
      <c r="L31" s="73"/>
      <c r="M31" s="35"/>
      <c r="N31" s="35"/>
      <c r="O31" s="72"/>
      <c r="P31" s="73"/>
      <c r="Q31" s="35"/>
      <c r="R31" s="35"/>
      <c r="S31" s="72"/>
      <c r="T31" s="73"/>
      <c r="U31" s="35"/>
      <c r="V31" s="35"/>
      <c r="W31" s="35"/>
      <c r="X31" s="35"/>
      <c r="Y31" s="72"/>
      <c r="Z31" s="73"/>
      <c r="AA31" s="35"/>
      <c r="AB31" s="35"/>
      <c r="AC31" s="72"/>
      <c r="AD31" s="73"/>
      <c r="AE31" s="35"/>
      <c r="AF31" s="35"/>
      <c r="AG31" s="72"/>
      <c r="AH31" s="73"/>
      <c r="AI31" s="35"/>
      <c r="AJ31" s="35"/>
      <c r="AK31" s="72"/>
      <c r="AL31" s="73"/>
      <c r="AM31" s="35"/>
      <c r="AN31" s="35"/>
      <c r="AO31" s="72"/>
      <c r="AP31" s="73"/>
      <c r="AQ31" s="35"/>
      <c r="AR31" s="35"/>
      <c r="AS31" s="74"/>
    </row>
    <row r="32" spans="1:45" ht="12.75" customHeight="1" x14ac:dyDescent="0.2">
      <c r="A32" s="6" t="s">
        <v>138</v>
      </c>
      <c r="B32" s="65"/>
      <c r="C32" s="7"/>
      <c r="D32" s="8"/>
      <c r="E32" s="56"/>
      <c r="G32" s="7"/>
      <c r="H32" s="8"/>
      <c r="I32" s="56"/>
      <c r="K32" s="7"/>
      <c r="L32" s="8"/>
      <c r="M32" s="56"/>
      <c r="O32" s="7"/>
      <c r="P32" s="8"/>
      <c r="Q32" s="56"/>
      <c r="S32" s="7"/>
      <c r="T32" s="8"/>
      <c r="U32" s="56"/>
      <c r="V32" s="56"/>
      <c r="W32" s="56"/>
      <c r="Y32" s="7"/>
      <c r="Z32" s="8"/>
      <c r="AA32" s="56"/>
      <c r="AC32" s="7"/>
      <c r="AD32" s="8"/>
      <c r="AE32" s="56"/>
      <c r="AG32" s="7"/>
      <c r="AH32" s="8"/>
      <c r="AI32" s="56"/>
      <c r="AK32" s="7"/>
      <c r="AL32" s="8"/>
      <c r="AM32" s="56"/>
      <c r="AO32" s="7"/>
      <c r="AP32" s="8"/>
      <c r="AQ32" s="56"/>
      <c r="AS32" s="6"/>
    </row>
    <row r="33" spans="1:45" ht="12.75" customHeight="1" x14ac:dyDescent="0.2">
      <c r="A33" s="75"/>
      <c r="B33" s="33" t="s">
        <v>139</v>
      </c>
      <c r="C33" s="7"/>
      <c r="D33" s="8"/>
      <c r="E33" s="56">
        <v>893</v>
      </c>
      <c r="F33" s="56">
        <v>1224</v>
      </c>
      <c r="G33" s="7"/>
      <c r="H33" s="8"/>
      <c r="I33" s="56">
        <f>2510+1120+450</f>
        <v>4080</v>
      </c>
      <c r="J33" s="56">
        <f>1706.667</f>
        <v>1706.6669999999999</v>
      </c>
      <c r="K33" s="7"/>
      <c r="L33" s="8"/>
      <c r="M33" s="56">
        <v>0</v>
      </c>
      <c r="N33" s="56">
        <v>0</v>
      </c>
      <c r="O33" s="7"/>
      <c r="P33" s="8"/>
      <c r="Q33" s="56">
        <v>0</v>
      </c>
      <c r="R33" s="56">
        <v>0</v>
      </c>
      <c r="S33" s="7"/>
      <c r="T33" s="8"/>
      <c r="U33" s="56">
        <v>0</v>
      </c>
      <c r="V33" s="56"/>
      <c r="W33" s="56">
        <v>9114</v>
      </c>
      <c r="X33" s="56">
        <v>660</v>
      </c>
      <c r="Y33" s="7"/>
      <c r="Z33" s="8"/>
      <c r="AA33" s="56">
        <v>0</v>
      </c>
      <c r="AB33" s="56">
        <v>0</v>
      </c>
      <c r="AC33" s="7"/>
      <c r="AD33" s="8"/>
      <c r="AE33" s="56">
        <v>23627.458999999999</v>
      </c>
      <c r="AF33" s="56">
        <v>10978.727000000001</v>
      </c>
      <c r="AG33" s="7"/>
      <c r="AH33" s="8"/>
      <c r="AI33" s="56">
        <v>7602.3620000000001</v>
      </c>
      <c r="AJ33" s="56"/>
      <c r="AK33" s="7"/>
      <c r="AL33" s="8"/>
      <c r="AM33" s="56">
        <v>0</v>
      </c>
      <c r="AN33" s="56">
        <v>3615</v>
      </c>
      <c r="AO33" s="7"/>
      <c r="AP33" s="8"/>
      <c r="AQ33" s="56">
        <f>2941+254</f>
        <v>3195</v>
      </c>
      <c r="AR33" s="56">
        <f>34</f>
        <v>34</v>
      </c>
      <c r="AS33" s="6"/>
    </row>
    <row r="34" spans="1:45" s="74" customFormat="1" ht="12.75" customHeight="1" x14ac:dyDescent="0.2">
      <c r="A34" s="79"/>
      <c r="B34" s="33" t="s">
        <v>140</v>
      </c>
      <c r="C34" s="52"/>
      <c r="D34" s="53"/>
      <c r="E34" s="56">
        <v>144564</v>
      </c>
      <c r="F34" s="56">
        <v>76284</v>
      </c>
      <c r="G34" s="52"/>
      <c r="H34" s="53"/>
      <c r="I34" s="56">
        <f>7025</f>
        <v>7025</v>
      </c>
      <c r="J34" s="56">
        <v>0</v>
      </c>
      <c r="K34" s="52"/>
      <c r="L34" s="53"/>
      <c r="M34" s="56">
        <v>2965</v>
      </c>
      <c r="N34" s="56">
        <v>0</v>
      </c>
      <c r="O34" s="52"/>
      <c r="P34" s="53"/>
      <c r="Q34" s="56">
        <f>2176430+25263</f>
        <v>2201693</v>
      </c>
      <c r="R34" s="56">
        <f>2053890+100278</f>
        <v>2154168</v>
      </c>
      <c r="S34" s="52"/>
      <c r="T34" s="53"/>
      <c r="U34" s="56">
        <v>2299</v>
      </c>
      <c r="V34" s="56"/>
      <c r="W34" s="56">
        <v>27000</v>
      </c>
      <c r="X34" s="56">
        <v>3201</v>
      </c>
      <c r="Y34" s="52"/>
      <c r="Z34" s="53"/>
      <c r="AA34" s="56">
        <v>77135</v>
      </c>
      <c r="AB34" s="56">
        <v>65911.562999999995</v>
      </c>
      <c r="AC34" s="52"/>
      <c r="AD34" s="53"/>
      <c r="AE34" s="56">
        <v>15597.119000000001</v>
      </c>
      <c r="AF34" s="56">
        <v>20950.490000000002</v>
      </c>
      <c r="AG34" s="52"/>
      <c r="AH34" s="53"/>
      <c r="AI34" s="56">
        <v>5517.924</v>
      </c>
      <c r="AJ34" s="56"/>
      <c r="AK34" s="52"/>
      <c r="AL34" s="53"/>
      <c r="AM34" s="56">
        <v>6000</v>
      </c>
      <c r="AN34" s="56">
        <v>11000</v>
      </c>
      <c r="AO34" s="52"/>
      <c r="AP34" s="53"/>
      <c r="AQ34" s="56">
        <v>10936</v>
      </c>
      <c r="AR34" s="56">
        <v>7627</v>
      </c>
      <c r="AS34" s="54"/>
    </row>
    <row r="35" spans="1:45" s="13" customFormat="1" ht="12.75" customHeight="1" x14ac:dyDescent="0.2">
      <c r="A35" s="6"/>
      <c r="B35" s="65" t="s">
        <v>141</v>
      </c>
      <c r="C35" s="7"/>
      <c r="D35" s="8"/>
      <c r="E35" s="51">
        <f>E37-E33-E34-E36</f>
        <v>0</v>
      </c>
      <c r="F35" s="51">
        <f>F37-F33-F34-F36</f>
        <v>0</v>
      </c>
      <c r="G35" s="7"/>
      <c r="H35" s="8"/>
      <c r="I35" s="51">
        <f>I37-I33-I34-I36</f>
        <v>1894.5030000000006</v>
      </c>
      <c r="J35" s="51">
        <f>J37-J33-J34-J36</f>
        <v>2583.5960000000005</v>
      </c>
      <c r="K35" s="7"/>
      <c r="L35" s="8"/>
      <c r="M35" s="51">
        <f>M37-M33-M34-M36</f>
        <v>115.74000000000007</v>
      </c>
      <c r="N35" s="51">
        <f>N37-N33-N34-N36</f>
        <v>271.899</v>
      </c>
      <c r="O35" s="7"/>
      <c r="P35" s="8"/>
      <c r="Q35" s="51">
        <f>Q37-Q33-Q34-Q36</f>
        <v>113477</v>
      </c>
      <c r="R35" s="51">
        <f>R37-R33-R34-R36</f>
        <v>140119</v>
      </c>
      <c r="S35" s="7"/>
      <c r="T35" s="8"/>
      <c r="U35" s="51">
        <f>U37-U36-SUM(U33:U34)</f>
        <v>72.462999999999738</v>
      </c>
      <c r="V35" s="51"/>
      <c r="W35" s="51">
        <f>W37-W36-SUM(W33:W34)</f>
        <v>3720</v>
      </c>
      <c r="X35" s="51">
        <f>X37-X36-SUM(X33:X34)</f>
        <v>6725</v>
      </c>
      <c r="Y35" s="7"/>
      <c r="Z35" s="8"/>
      <c r="AA35" s="51">
        <f>AA37-AA36-SUM(AA33:AA34)</f>
        <v>1448.9389999999985</v>
      </c>
      <c r="AB35" s="51">
        <f>AB37-AB36-SUM(AB33:AB34)</f>
        <v>1342.3369999999995</v>
      </c>
      <c r="AC35" s="7"/>
      <c r="AD35" s="8"/>
      <c r="AE35" s="51">
        <f>AE37-AE33-AE34-AE36</f>
        <v>1373.0169999999971</v>
      </c>
      <c r="AF35" s="51">
        <f>AF37-AF33-AF34-AF36</f>
        <v>1386.5850000000028</v>
      </c>
      <c r="AG35" s="7"/>
      <c r="AH35" s="8"/>
      <c r="AI35" s="51">
        <f>AI37-AI33-AI34-AI36</f>
        <v>220.84900000000016</v>
      </c>
      <c r="AJ35" s="51"/>
      <c r="AK35" s="7"/>
      <c r="AL35" s="8"/>
      <c r="AM35" s="51">
        <f>AM37-AM33-AM34-AM36</f>
        <v>39277</v>
      </c>
      <c r="AN35" s="51">
        <f>AN37-AN33-AN34-AN36</f>
        <v>37792</v>
      </c>
      <c r="AO35" s="7"/>
      <c r="AP35" s="8"/>
      <c r="AQ35" s="51">
        <f>AQ37-AQ33-AQ34-AQ36</f>
        <v>13</v>
      </c>
      <c r="AR35" s="51">
        <f>AR37-AR33-AR34-AR36</f>
        <v>0</v>
      </c>
      <c r="AS35" s="6"/>
    </row>
    <row r="36" spans="1:45" ht="12.75" customHeight="1" x14ac:dyDescent="0.2">
      <c r="A36" s="58"/>
      <c r="B36" s="39" t="s">
        <v>142</v>
      </c>
      <c r="C36" s="63"/>
      <c r="D36" s="64"/>
      <c r="E36" s="43">
        <f>27605</f>
        <v>27605</v>
      </c>
      <c r="F36" s="43">
        <v>27053</v>
      </c>
      <c r="G36" s="63"/>
      <c r="H36" s="64"/>
      <c r="I36" s="43">
        <v>5740.3029999999999</v>
      </c>
      <c r="J36" s="43">
        <v>4647.5600000000004</v>
      </c>
      <c r="K36" s="63"/>
      <c r="L36" s="64"/>
      <c r="M36" s="43">
        <v>501.52600000000001</v>
      </c>
      <c r="N36" s="43">
        <v>156.21100000000001</v>
      </c>
      <c r="O36" s="63"/>
      <c r="P36" s="64"/>
      <c r="Q36" s="43">
        <v>213240</v>
      </c>
      <c r="R36" s="43">
        <v>199313</v>
      </c>
      <c r="S36" s="63"/>
      <c r="T36" s="64"/>
      <c r="U36" s="43">
        <f>-183.569</f>
        <v>-183.56899999999999</v>
      </c>
      <c r="V36" s="43"/>
      <c r="W36" s="43">
        <v>19091</v>
      </c>
      <c r="X36" s="43">
        <v>15850</v>
      </c>
      <c r="Y36" s="63"/>
      <c r="Z36" s="64"/>
      <c r="AA36" s="43">
        <f>10376.531</f>
        <v>10376.531000000001</v>
      </c>
      <c r="AB36" s="43">
        <f>9509.176</f>
        <v>9509.1759999999995</v>
      </c>
      <c r="AC36" s="63"/>
      <c r="AD36" s="64"/>
      <c r="AE36" s="43">
        <v>6826.9229999999998</v>
      </c>
      <c r="AF36" s="43">
        <v>5738.125</v>
      </c>
      <c r="AG36" s="63"/>
      <c r="AH36" s="64"/>
      <c r="AI36" s="43">
        <v>2825.7809999999999</v>
      </c>
      <c r="AJ36" s="43"/>
      <c r="AK36" s="63"/>
      <c r="AL36" s="64"/>
      <c r="AM36" s="43">
        <v>39661</v>
      </c>
      <c r="AN36" s="43">
        <v>51183</v>
      </c>
      <c r="AO36" s="63"/>
      <c r="AP36" s="64"/>
      <c r="AQ36" s="43">
        <f>3248</f>
        <v>3248</v>
      </c>
      <c r="AR36" s="43">
        <v>3210</v>
      </c>
      <c r="AS36" s="58"/>
    </row>
    <row r="37" spans="1:45" ht="12.75" customHeight="1" x14ac:dyDescent="0.2">
      <c r="A37" s="6"/>
      <c r="B37" s="6" t="s">
        <v>143</v>
      </c>
      <c r="C37" s="7"/>
      <c r="D37" s="8"/>
      <c r="E37" s="51">
        <f>E30</f>
        <v>173062</v>
      </c>
      <c r="F37" s="51">
        <f>F30</f>
        <v>104561</v>
      </c>
      <c r="G37" s="7"/>
      <c r="H37" s="8"/>
      <c r="I37" s="51">
        <f>I30</f>
        <v>18739.806</v>
      </c>
      <c r="J37" s="51">
        <f>J30</f>
        <v>8937.8230000000003</v>
      </c>
      <c r="K37" s="7"/>
      <c r="L37" s="8"/>
      <c r="M37" s="51">
        <f>M30</f>
        <v>3582.2660000000001</v>
      </c>
      <c r="N37" s="51">
        <f>N30</f>
        <v>428.11</v>
      </c>
      <c r="O37" s="7"/>
      <c r="P37" s="8"/>
      <c r="Q37" s="51">
        <f>Q30</f>
        <v>2528410</v>
      </c>
      <c r="R37" s="51">
        <f>R30</f>
        <v>2493600</v>
      </c>
      <c r="S37" s="7"/>
      <c r="T37" s="8"/>
      <c r="U37" s="51">
        <f>U30</f>
        <v>2187.8939999999998</v>
      </c>
      <c r="V37" s="51"/>
      <c r="W37" s="51">
        <f>W30</f>
        <v>58925</v>
      </c>
      <c r="X37" s="51">
        <f>X30</f>
        <v>26436</v>
      </c>
      <c r="Y37" s="7"/>
      <c r="Z37" s="8"/>
      <c r="AA37" s="51">
        <f>AA30</f>
        <v>88960.47</v>
      </c>
      <c r="AB37" s="51">
        <f>AB30</f>
        <v>76763.076000000001</v>
      </c>
      <c r="AC37" s="7"/>
      <c r="AD37" s="8"/>
      <c r="AE37" s="51">
        <f>AE30</f>
        <v>47424.517999999996</v>
      </c>
      <c r="AF37" s="51">
        <f>AF30</f>
        <v>39053.927000000003</v>
      </c>
      <c r="AG37" s="7"/>
      <c r="AH37" s="8"/>
      <c r="AI37" s="51">
        <f>AI30</f>
        <v>16166.915999999999</v>
      </c>
      <c r="AJ37" s="51"/>
      <c r="AK37" s="7"/>
      <c r="AL37" s="8"/>
      <c r="AM37" s="51">
        <f>AM30</f>
        <v>84938</v>
      </c>
      <c r="AN37" s="51">
        <f>AN30</f>
        <v>103590</v>
      </c>
      <c r="AO37" s="7"/>
      <c r="AP37" s="8"/>
      <c r="AQ37" s="51">
        <f>AQ30</f>
        <v>17392</v>
      </c>
      <c r="AR37" s="51">
        <f>AR30</f>
        <v>10871</v>
      </c>
      <c r="AS37" s="6"/>
    </row>
    <row r="38" spans="1:45" ht="12.75" customHeight="1" x14ac:dyDescent="0.2">
      <c r="A38" s="6"/>
      <c r="C38" s="7"/>
      <c r="D38" s="8"/>
      <c r="E38" s="51"/>
      <c r="F38" s="51"/>
      <c r="G38" s="7"/>
      <c r="H38" s="8"/>
      <c r="I38" s="51"/>
      <c r="J38" s="51"/>
      <c r="K38" s="7"/>
      <c r="L38" s="8"/>
      <c r="M38" s="51"/>
      <c r="N38" s="51"/>
      <c r="O38" s="7"/>
      <c r="P38" s="8"/>
      <c r="Q38" s="51"/>
      <c r="R38" s="51"/>
      <c r="S38" s="7"/>
      <c r="T38" s="8"/>
      <c r="U38" s="51"/>
      <c r="V38" s="51"/>
      <c r="W38" s="51"/>
      <c r="X38" s="51"/>
      <c r="Y38" s="7"/>
      <c r="Z38" s="8"/>
      <c r="AA38" s="51"/>
      <c r="AB38" s="51"/>
      <c r="AC38" s="7"/>
      <c r="AD38" s="8"/>
      <c r="AE38" s="51"/>
      <c r="AF38" s="51"/>
      <c r="AG38" s="7"/>
      <c r="AH38" s="8"/>
      <c r="AI38" s="51"/>
      <c r="AJ38" s="51"/>
      <c r="AK38" s="7"/>
      <c r="AL38" s="8"/>
      <c r="AM38" s="51"/>
      <c r="AN38" s="51"/>
      <c r="AO38" s="7"/>
      <c r="AP38" s="8"/>
      <c r="AQ38" s="51"/>
      <c r="AR38" s="51"/>
      <c r="AS38" s="6"/>
    </row>
    <row r="39" spans="1:45" ht="12.75" customHeight="1" x14ac:dyDescent="0.2">
      <c r="A39" s="75" t="s">
        <v>144</v>
      </c>
      <c r="B39" s="65"/>
      <c r="C39" s="7"/>
      <c r="D39" s="8"/>
      <c r="E39" s="51"/>
      <c r="F39" s="51"/>
      <c r="G39" s="7"/>
      <c r="H39" s="8"/>
      <c r="I39" s="51"/>
      <c r="J39" s="51"/>
      <c r="K39" s="7"/>
      <c r="L39" s="8"/>
      <c r="M39" s="51"/>
      <c r="N39" s="51" t="s">
        <v>157</v>
      </c>
      <c r="O39" s="7"/>
      <c r="P39" s="8"/>
      <c r="Q39" s="51"/>
      <c r="R39" s="51"/>
      <c r="S39" s="7"/>
      <c r="T39" s="8"/>
      <c r="U39" s="51"/>
      <c r="V39" s="51"/>
      <c r="W39" s="51"/>
      <c r="X39" s="51"/>
      <c r="Y39" s="7"/>
      <c r="Z39" s="8"/>
      <c r="AA39" s="51"/>
      <c r="AB39" s="51"/>
      <c r="AC39" s="7"/>
      <c r="AD39" s="8"/>
      <c r="AE39" s="51"/>
      <c r="AF39" s="51"/>
      <c r="AG39" s="7"/>
      <c r="AH39" s="8"/>
      <c r="AI39" s="51"/>
      <c r="AJ39" s="51"/>
      <c r="AK39" s="7"/>
      <c r="AL39" s="8"/>
      <c r="AM39" s="51"/>
      <c r="AN39" s="51"/>
      <c r="AO39" s="7"/>
      <c r="AP39" s="8"/>
      <c r="AQ39" s="51"/>
      <c r="AR39" s="51"/>
      <c r="AS39" s="6"/>
    </row>
    <row r="40" spans="1:45" ht="12.75" customHeight="1" x14ac:dyDescent="0.2">
      <c r="A40" s="74"/>
      <c r="B40" s="76" t="s">
        <v>145</v>
      </c>
      <c r="C40" s="72"/>
      <c r="D40" s="73"/>
      <c r="E40" s="35">
        <v>164</v>
      </c>
      <c r="F40" s="35">
        <v>0</v>
      </c>
      <c r="G40" s="72"/>
      <c r="H40" s="73"/>
      <c r="I40" s="35"/>
      <c r="J40" s="35"/>
      <c r="K40" s="72"/>
      <c r="L40" s="73"/>
      <c r="M40" s="35">
        <v>0</v>
      </c>
      <c r="N40" s="35">
        <v>0</v>
      </c>
      <c r="O40" s="72"/>
      <c r="P40" s="73"/>
      <c r="Q40" s="35">
        <v>30225</v>
      </c>
      <c r="R40" s="35">
        <v>7423</v>
      </c>
      <c r="S40" s="72"/>
      <c r="T40" s="73"/>
      <c r="U40" s="35"/>
      <c r="V40" s="35"/>
      <c r="W40" s="35">
        <v>0</v>
      </c>
      <c r="X40" s="35">
        <v>0</v>
      </c>
      <c r="Y40" s="72"/>
      <c r="Z40" s="73"/>
      <c r="AA40" s="35">
        <v>0</v>
      </c>
      <c r="AB40" s="35">
        <v>-126.417</v>
      </c>
      <c r="AC40" s="72"/>
      <c r="AD40" s="73"/>
      <c r="AE40" s="35">
        <v>0</v>
      </c>
      <c r="AF40" s="35">
        <v>0</v>
      </c>
      <c r="AG40" s="72"/>
      <c r="AH40" s="73"/>
      <c r="AI40" s="35">
        <v>0</v>
      </c>
      <c r="AJ40" s="35"/>
      <c r="AK40" s="72"/>
      <c r="AL40" s="73"/>
      <c r="AM40" s="35"/>
      <c r="AN40" s="35"/>
      <c r="AO40" s="72"/>
      <c r="AP40" s="73"/>
      <c r="AQ40" s="35">
        <v>55</v>
      </c>
      <c r="AR40" s="35">
        <v>0</v>
      </c>
      <c r="AS40" s="74"/>
    </row>
    <row r="41" spans="1:45" ht="12.75" customHeight="1" x14ac:dyDescent="0.2">
      <c r="A41" s="58"/>
      <c r="B41" s="39" t="s">
        <v>147</v>
      </c>
      <c r="C41" s="63"/>
      <c r="D41" s="64"/>
      <c r="E41" s="43">
        <v>1263</v>
      </c>
      <c r="F41" s="43">
        <v>0</v>
      </c>
      <c r="G41" s="63"/>
      <c r="H41" s="64"/>
      <c r="I41" s="43"/>
      <c r="J41" s="43"/>
      <c r="K41" s="63"/>
      <c r="L41" s="64"/>
      <c r="M41" s="43">
        <v>0</v>
      </c>
      <c r="N41" s="43">
        <v>0</v>
      </c>
      <c r="O41" s="63"/>
      <c r="P41" s="64"/>
      <c r="Q41" s="43">
        <v>8146</v>
      </c>
      <c r="R41" s="43">
        <v>3053</v>
      </c>
      <c r="S41" s="63"/>
      <c r="T41" s="64"/>
      <c r="U41" s="43"/>
      <c r="V41" s="43"/>
      <c r="W41" s="43">
        <v>0</v>
      </c>
      <c r="X41" s="43">
        <v>0</v>
      </c>
      <c r="Y41" s="63"/>
      <c r="Z41" s="64"/>
      <c r="AA41" s="43">
        <v>63.021999999999998</v>
      </c>
      <c r="AB41" s="43">
        <v>-118.54900000000001</v>
      </c>
      <c r="AC41" s="63"/>
      <c r="AD41" s="64"/>
      <c r="AE41" s="43">
        <v>4017.8820000000001</v>
      </c>
      <c r="AF41" s="43">
        <v>2398.5140000000001</v>
      </c>
      <c r="AG41" s="63"/>
      <c r="AH41" s="64"/>
      <c r="AI41" s="43">
        <v>3491.4140000000002</v>
      </c>
      <c r="AJ41" s="43"/>
      <c r="AK41" s="63"/>
      <c r="AL41" s="64"/>
      <c r="AM41" s="43"/>
      <c r="AN41" s="43"/>
      <c r="AO41" s="63"/>
      <c r="AP41" s="64"/>
      <c r="AQ41" s="43">
        <v>861</v>
      </c>
      <c r="AR41" s="43">
        <v>584</v>
      </c>
      <c r="AS41" s="58"/>
    </row>
    <row r="42" spans="1:45" ht="12.75" customHeight="1" x14ac:dyDescent="0.2">
      <c r="B42" s="65" t="s">
        <v>148</v>
      </c>
      <c r="E42" s="32">
        <f>SUM(E40:E41)</f>
        <v>1427</v>
      </c>
      <c r="F42" s="32">
        <f>SUM(F40:F41)</f>
        <v>0</v>
      </c>
      <c r="I42" s="32"/>
      <c r="J42" s="32"/>
      <c r="M42" s="32">
        <v>0</v>
      </c>
      <c r="N42" s="32"/>
      <c r="Q42" s="32">
        <f>SUM(Q40:Q41)</f>
        <v>38371</v>
      </c>
      <c r="R42" s="32">
        <f>SUM(R40:R41)</f>
        <v>10476</v>
      </c>
      <c r="U42" s="32"/>
      <c r="V42" s="32"/>
      <c r="W42" s="32">
        <v>0</v>
      </c>
      <c r="X42" s="32">
        <v>0</v>
      </c>
      <c r="AA42" s="32">
        <f>SUM(AA40:AA41)</f>
        <v>63.021999999999998</v>
      </c>
      <c r="AB42" s="32">
        <f>SUM(AB40:AB41)</f>
        <v>-244.96600000000001</v>
      </c>
      <c r="AE42" s="32">
        <f>SUM(AE40:AE41)</f>
        <v>4017.8820000000001</v>
      </c>
      <c r="AF42" s="32">
        <f>SUM(AF40:AF41)</f>
        <v>2398.5140000000001</v>
      </c>
      <c r="AI42" s="32">
        <f>SUM(AI40:AI41)</f>
        <v>3491.4140000000002</v>
      </c>
      <c r="AJ42" s="32"/>
      <c r="AM42" s="32"/>
      <c r="AN42" s="32"/>
      <c r="AQ42" s="32">
        <f>SUM(AQ40:AQ41)</f>
        <v>916</v>
      </c>
      <c r="AR42" s="32">
        <f>SUM(AR40:AR41)</f>
        <v>584</v>
      </c>
    </row>
    <row r="43" spans="1:45" ht="12.75" customHeight="1" x14ac:dyDescent="0.2">
      <c r="B43" s="65"/>
      <c r="E43" s="32"/>
      <c r="F43" s="32"/>
      <c r="I43" s="32"/>
      <c r="J43" s="32"/>
      <c r="M43" s="32"/>
      <c r="N43" s="32"/>
      <c r="Q43" s="32"/>
      <c r="R43" s="32"/>
      <c r="U43" s="32"/>
      <c r="V43" s="32"/>
      <c r="W43" s="32"/>
      <c r="X43" s="32"/>
      <c r="AA43" s="32"/>
      <c r="AB43" s="32"/>
      <c r="AE43" s="32"/>
      <c r="AF43" s="32"/>
      <c r="AI43" s="32"/>
      <c r="AJ43" s="32"/>
      <c r="AM43" s="32"/>
      <c r="AN43" s="32"/>
      <c r="AQ43" s="32"/>
      <c r="AR43" s="32"/>
    </row>
    <row r="44" spans="1:45" ht="12.75" customHeight="1" x14ac:dyDescent="0.2">
      <c r="A44" s="74"/>
      <c r="B44" s="70" t="s">
        <v>149</v>
      </c>
      <c r="C44" s="72"/>
      <c r="D44" s="73">
        <v>0</v>
      </c>
      <c r="E44" s="56">
        <v>130</v>
      </c>
      <c r="F44" s="56">
        <v>0</v>
      </c>
      <c r="G44" s="72"/>
      <c r="H44" s="73"/>
      <c r="I44" s="56"/>
      <c r="J44" s="56"/>
      <c r="K44" s="72"/>
      <c r="L44" s="73"/>
      <c r="M44" s="56"/>
      <c r="N44" s="56"/>
      <c r="O44" s="72"/>
      <c r="P44" s="73"/>
      <c r="Q44" s="56">
        <v>12389</v>
      </c>
      <c r="R44" s="56">
        <v>1858</v>
      </c>
      <c r="S44" s="72"/>
      <c r="T44" s="73"/>
      <c r="U44" s="56"/>
      <c r="V44" s="56"/>
      <c r="W44" s="56"/>
      <c r="X44" s="56"/>
      <c r="Y44" s="72"/>
      <c r="Z44" s="73"/>
      <c r="AA44" s="56">
        <v>33.116</v>
      </c>
      <c r="AB44" s="56">
        <v>33.116</v>
      </c>
      <c r="AC44" s="72"/>
      <c r="AD44" s="73"/>
      <c r="AE44" s="56">
        <v>0</v>
      </c>
      <c r="AF44" s="56">
        <v>0</v>
      </c>
      <c r="AG44" s="72"/>
      <c r="AH44" s="73"/>
      <c r="AI44" s="56">
        <v>0</v>
      </c>
      <c r="AJ44" s="56"/>
      <c r="AK44" s="72"/>
      <c r="AL44" s="73"/>
      <c r="AM44" s="56"/>
      <c r="AN44" s="56"/>
      <c r="AO44" s="72"/>
      <c r="AP44" s="73"/>
      <c r="AQ44" s="56"/>
      <c r="AR44" s="56"/>
      <c r="AS44" s="74"/>
    </row>
    <row r="45" spans="1:45" ht="12.75" customHeight="1" x14ac:dyDescent="0.2">
      <c r="A45" s="58"/>
      <c r="B45" s="82" t="s">
        <v>150</v>
      </c>
      <c r="C45" s="63"/>
      <c r="D45" s="43">
        <v>284</v>
      </c>
      <c r="E45" s="43">
        <v>368</v>
      </c>
      <c r="F45" s="43">
        <v>218</v>
      </c>
      <c r="G45" s="63"/>
      <c r="H45" s="64"/>
      <c r="I45" s="43"/>
      <c r="J45" s="43"/>
      <c r="K45" s="63"/>
      <c r="L45" s="64"/>
      <c r="M45" s="43"/>
      <c r="N45" s="43"/>
      <c r="O45" s="63"/>
      <c r="P45" s="64"/>
      <c r="Q45" s="58">
        <v>7931</v>
      </c>
      <c r="R45" s="58">
        <v>10241</v>
      </c>
      <c r="S45" s="63"/>
      <c r="T45" s="64"/>
      <c r="U45" s="43"/>
      <c r="V45" s="43"/>
      <c r="W45" s="43"/>
      <c r="X45" s="43"/>
      <c r="Y45" s="63"/>
      <c r="Z45" s="64"/>
      <c r="AA45" s="43">
        <v>0</v>
      </c>
      <c r="AB45" s="43">
        <v>0</v>
      </c>
      <c r="AC45" s="63"/>
      <c r="AD45" s="64"/>
      <c r="AE45" s="43">
        <v>1006.631</v>
      </c>
      <c r="AF45" s="43">
        <v>818.173</v>
      </c>
      <c r="AG45" s="63"/>
      <c r="AH45" s="64"/>
      <c r="AI45" s="43">
        <v>745</v>
      </c>
      <c r="AJ45" s="43"/>
      <c r="AK45" s="63"/>
      <c r="AL45" s="64"/>
      <c r="AM45" s="43"/>
      <c r="AN45" s="43"/>
      <c r="AO45" s="63"/>
      <c r="AP45" s="64"/>
      <c r="AQ45" s="43"/>
      <c r="AR45" s="43"/>
      <c r="AS45" s="58"/>
    </row>
    <row r="46" spans="1:45" ht="12.75" customHeight="1" x14ac:dyDescent="0.2">
      <c r="A46" s="74"/>
      <c r="B46" s="5" t="s">
        <v>151</v>
      </c>
      <c r="C46" s="72"/>
      <c r="D46" s="32">
        <f>SUM(D44:D45)</f>
        <v>284</v>
      </c>
      <c r="E46" s="32">
        <f>SUM(E44:E45)</f>
        <v>498</v>
      </c>
      <c r="F46" s="32">
        <f>SUM(F44:F45)</f>
        <v>218</v>
      </c>
      <c r="G46" s="72"/>
      <c r="H46" s="73"/>
      <c r="I46" s="32"/>
      <c r="J46" s="32"/>
      <c r="K46" s="72"/>
      <c r="L46" s="73"/>
      <c r="M46" s="32"/>
      <c r="N46" s="32"/>
      <c r="O46" s="72"/>
      <c r="P46" s="73"/>
      <c r="Q46" s="56">
        <v>20320</v>
      </c>
      <c r="R46" s="56">
        <v>12099</v>
      </c>
      <c r="S46" s="72"/>
      <c r="T46" s="73"/>
      <c r="U46" s="32"/>
      <c r="V46" s="32"/>
      <c r="W46" s="32"/>
      <c r="X46" s="32"/>
      <c r="Y46" s="72"/>
      <c r="Z46" s="73"/>
      <c r="AA46" s="32">
        <f>SUM(AA44:AA45)</f>
        <v>33.116</v>
      </c>
      <c r="AB46" s="32">
        <f>SUM(AB44:AB45)</f>
        <v>33.116</v>
      </c>
      <c r="AC46" s="72"/>
      <c r="AD46" s="73"/>
      <c r="AE46" s="32">
        <f>SUM(AE44:AE45)</f>
        <v>1006.631</v>
      </c>
      <c r="AF46" s="32">
        <f>SUM(AF44:AF45)</f>
        <v>818.173</v>
      </c>
      <c r="AG46" s="72"/>
      <c r="AH46" s="73"/>
      <c r="AI46" s="32">
        <f>SUM(AI44:AI45)</f>
        <v>745</v>
      </c>
      <c r="AJ46" s="32"/>
      <c r="AK46" s="72"/>
      <c r="AL46" s="73"/>
      <c r="AM46" s="32"/>
      <c r="AN46" s="32"/>
      <c r="AO46" s="72"/>
      <c r="AP46" s="73"/>
      <c r="AQ46" s="32">
        <f>AQ51</f>
        <v>107</v>
      </c>
      <c r="AR46" s="32">
        <f>AR51</f>
        <v>41</v>
      </c>
      <c r="AS46" s="74"/>
    </row>
    <row r="47" spans="1:45" ht="12.75" customHeight="1" x14ac:dyDescent="0.2">
      <c r="A47" s="74"/>
      <c r="B47" s="5"/>
      <c r="C47" s="72"/>
      <c r="D47" s="73"/>
      <c r="E47" s="32"/>
      <c r="F47" s="32"/>
      <c r="G47" s="72"/>
      <c r="H47" s="73"/>
      <c r="I47" s="32"/>
      <c r="J47" s="32"/>
      <c r="K47" s="72"/>
      <c r="L47" s="73"/>
      <c r="M47" s="32"/>
      <c r="N47" s="32"/>
      <c r="O47" s="72"/>
      <c r="P47" s="73"/>
      <c r="Q47" s="32"/>
      <c r="R47" s="32"/>
      <c r="S47" s="72"/>
      <c r="T47" s="73"/>
      <c r="U47" s="32"/>
      <c r="V47" s="32"/>
      <c r="W47" s="32"/>
      <c r="X47" s="32"/>
      <c r="Y47" s="72"/>
      <c r="Z47" s="73"/>
      <c r="AA47" s="32"/>
      <c r="AB47" s="32"/>
      <c r="AC47" s="72"/>
      <c r="AD47" s="73"/>
      <c r="AE47" s="32"/>
      <c r="AF47" s="32"/>
      <c r="AG47" s="72"/>
      <c r="AH47" s="73"/>
      <c r="AI47" s="32"/>
      <c r="AJ47" s="32"/>
      <c r="AK47" s="72"/>
      <c r="AL47" s="73"/>
      <c r="AM47" s="32"/>
      <c r="AN47" s="32"/>
      <c r="AO47" s="72"/>
      <c r="AP47" s="73"/>
      <c r="AQ47" s="32"/>
      <c r="AR47" s="32"/>
      <c r="AS47" s="74"/>
    </row>
    <row r="48" spans="1:45" ht="12.75" customHeight="1" x14ac:dyDescent="0.2">
      <c r="A48" s="74"/>
      <c r="B48" s="70" t="s">
        <v>152</v>
      </c>
      <c r="C48" s="72"/>
      <c r="D48" s="32">
        <f>E46</f>
        <v>498</v>
      </c>
      <c r="E48" s="32">
        <f>F46</f>
        <v>218</v>
      </c>
      <c r="F48" s="35">
        <v>57</v>
      </c>
      <c r="G48" s="72"/>
      <c r="H48" s="73"/>
      <c r="I48" s="32">
        <f>J46</f>
        <v>0</v>
      </c>
      <c r="J48" s="35">
        <v>0</v>
      </c>
      <c r="K48" s="72"/>
      <c r="L48" s="73"/>
      <c r="M48" s="35"/>
      <c r="N48" s="35"/>
      <c r="O48" s="72"/>
      <c r="P48" s="73"/>
      <c r="Q48" s="35">
        <f>R51</f>
        <v>12099</v>
      </c>
      <c r="R48" s="35"/>
      <c r="S48" s="72"/>
      <c r="T48" s="73"/>
      <c r="U48" s="35"/>
      <c r="V48" s="35"/>
      <c r="W48" s="35"/>
      <c r="X48" s="35"/>
      <c r="Y48" s="72"/>
      <c r="Z48" s="73"/>
      <c r="AA48" s="56">
        <v>33.116</v>
      </c>
      <c r="AB48" s="56">
        <v>33.116</v>
      </c>
      <c r="AC48" s="72"/>
      <c r="AD48" s="73"/>
      <c r="AE48" s="35">
        <v>818.173</v>
      </c>
      <c r="AF48" s="35">
        <v>476</v>
      </c>
      <c r="AG48" s="72"/>
      <c r="AH48" s="73"/>
      <c r="AI48" s="35">
        <v>425</v>
      </c>
      <c r="AJ48" s="35"/>
      <c r="AK48" s="72"/>
      <c r="AL48" s="73"/>
      <c r="AM48" s="35"/>
      <c r="AN48" s="35"/>
      <c r="AO48" s="72"/>
      <c r="AP48" s="73"/>
      <c r="AQ48" s="35">
        <v>41</v>
      </c>
      <c r="AR48" s="35">
        <v>16</v>
      </c>
      <c r="AS48" s="74"/>
    </row>
    <row r="49" spans="1:45" ht="12.75" customHeight="1" x14ac:dyDescent="0.2">
      <c r="A49" s="74"/>
      <c r="B49" s="70" t="s">
        <v>153</v>
      </c>
      <c r="C49" s="72"/>
      <c r="D49" s="32">
        <f>D16</f>
        <v>-84</v>
      </c>
      <c r="E49" s="32">
        <f>E16</f>
        <v>280</v>
      </c>
      <c r="F49" s="32">
        <v>161</v>
      </c>
      <c r="G49" s="72"/>
      <c r="H49" s="73"/>
      <c r="I49" s="32">
        <f>I16</f>
        <v>0</v>
      </c>
      <c r="J49" s="32">
        <v>161</v>
      </c>
      <c r="K49" s="72"/>
      <c r="L49" s="73"/>
      <c r="M49" s="35"/>
      <c r="N49" s="35"/>
      <c r="O49" s="72"/>
      <c r="P49" s="73"/>
      <c r="Q49" s="35">
        <f>12376-8276</f>
        <v>4100</v>
      </c>
      <c r="R49" s="35"/>
      <c r="S49" s="72"/>
      <c r="T49" s="73"/>
      <c r="U49" s="35"/>
      <c r="V49" s="35"/>
      <c r="W49" s="35"/>
      <c r="X49" s="35"/>
      <c r="Y49" s="72"/>
      <c r="Z49" s="73"/>
      <c r="AA49" s="35">
        <v>0</v>
      </c>
      <c r="AB49" s="35">
        <v>0</v>
      </c>
      <c r="AC49" s="72"/>
      <c r="AD49" s="73"/>
      <c r="AE49" s="35">
        <v>188.458</v>
      </c>
      <c r="AF49" s="35">
        <v>342.173</v>
      </c>
      <c r="AG49" s="72"/>
      <c r="AH49" s="73"/>
      <c r="AI49" s="35">
        <f>AI16</f>
        <v>263</v>
      </c>
      <c r="AJ49" s="35"/>
      <c r="AK49" s="72"/>
      <c r="AL49" s="73"/>
      <c r="AM49" s="35"/>
      <c r="AN49" s="35"/>
      <c r="AO49" s="72"/>
      <c r="AP49" s="73"/>
      <c r="AQ49" s="35">
        <v>66</v>
      </c>
      <c r="AR49" s="35">
        <v>25</v>
      </c>
      <c r="AS49" s="74"/>
    </row>
    <row r="50" spans="1:45" s="74" customFormat="1" ht="12.75" customHeight="1" x14ac:dyDescent="0.2">
      <c r="A50" s="38"/>
      <c r="B50" s="82" t="s">
        <v>154</v>
      </c>
      <c r="C50" s="46"/>
      <c r="D50" s="61">
        <f>D51-D49-D48</f>
        <v>-130</v>
      </c>
      <c r="E50" s="61">
        <f>E51-E49-E48</f>
        <v>0</v>
      </c>
      <c r="F50" s="61">
        <v>0</v>
      </c>
      <c r="G50" s="46"/>
      <c r="H50" s="47"/>
      <c r="I50" s="61">
        <f>I51-I49-I48</f>
        <v>0</v>
      </c>
      <c r="J50" s="61">
        <v>0</v>
      </c>
      <c r="K50" s="46"/>
      <c r="L50" s="47"/>
      <c r="M50" s="43"/>
      <c r="N50" s="43"/>
      <c r="O50" s="46"/>
      <c r="P50" s="47"/>
      <c r="Q50" s="43">
        <f>Q48+Q49-Q51</f>
        <v>-4121</v>
      </c>
      <c r="R50" s="43"/>
      <c r="S50" s="46"/>
      <c r="T50" s="47"/>
      <c r="U50" s="43"/>
      <c r="V50" s="43"/>
      <c r="W50" s="43"/>
      <c r="X50" s="43"/>
      <c r="Y50" s="46"/>
      <c r="Z50" s="47"/>
      <c r="AA50" s="43">
        <v>0</v>
      </c>
      <c r="AB50" s="43">
        <v>0</v>
      </c>
      <c r="AC50" s="46"/>
      <c r="AD50" s="47"/>
      <c r="AE50" s="43">
        <v>0</v>
      </c>
      <c r="AF50" s="43">
        <v>0</v>
      </c>
      <c r="AG50" s="46"/>
      <c r="AH50" s="47"/>
      <c r="AI50" s="43">
        <f>AI48+AI49-AI51</f>
        <v>-57</v>
      </c>
      <c r="AJ50" s="43"/>
      <c r="AK50" s="46"/>
      <c r="AL50" s="47"/>
      <c r="AM50" s="43"/>
      <c r="AN50" s="43"/>
      <c r="AO50" s="46"/>
      <c r="AP50" s="47"/>
      <c r="AQ50" s="43"/>
      <c r="AR50" s="43"/>
      <c r="AS50" s="38"/>
    </row>
    <row r="51" spans="1:45" ht="12.75" customHeight="1" x14ac:dyDescent="0.2">
      <c r="A51" s="74"/>
      <c r="B51" s="5" t="s">
        <v>155</v>
      </c>
      <c r="C51" s="72"/>
      <c r="D51" s="32">
        <f>D46</f>
        <v>284</v>
      </c>
      <c r="E51" s="32">
        <f>E46</f>
        <v>498</v>
      </c>
      <c r="F51" s="32">
        <f>F46</f>
        <v>218</v>
      </c>
      <c r="G51" s="72"/>
      <c r="H51" s="73"/>
      <c r="I51" s="32">
        <f>I46</f>
        <v>0</v>
      </c>
      <c r="J51" s="32">
        <f>J46</f>
        <v>0</v>
      </c>
      <c r="K51" s="72"/>
      <c r="L51" s="73"/>
      <c r="M51" s="32"/>
      <c r="N51" s="32"/>
      <c r="O51" s="72"/>
      <c r="P51" s="73"/>
      <c r="Q51" s="32">
        <f>Q46</f>
        <v>20320</v>
      </c>
      <c r="R51" s="32">
        <f>R46</f>
        <v>12099</v>
      </c>
      <c r="S51" s="72"/>
      <c r="T51" s="73"/>
      <c r="U51" s="32"/>
      <c r="V51" s="32"/>
      <c r="W51" s="32"/>
      <c r="X51" s="32"/>
      <c r="Y51" s="72"/>
      <c r="Z51" s="73"/>
      <c r="AA51" s="32">
        <f>SUM(AA48:AA50)</f>
        <v>33.116</v>
      </c>
      <c r="AB51" s="32">
        <f>SUM(AB48:AB50)</f>
        <v>33.116</v>
      </c>
      <c r="AC51" s="72"/>
      <c r="AD51" s="73"/>
      <c r="AE51" s="32">
        <f>SUM(AE48:AE50)</f>
        <v>1006.631</v>
      </c>
      <c r="AF51" s="32">
        <f>SUM(AF48:AF50)</f>
        <v>818.173</v>
      </c>
      <c r="AG51" s="72"/>
      <c r="AH51" s="73"/>
      <c r="AI51" s="32">
        <f>AI46</f>
        <v>745</v>
      </c>
      <c r="AJ51" s="32"/>
      <c r="AK51" s="72"/>
      <c r="AL51" s="73"/>
      <c r="AM51" s="32"/>
      <c r="AN51" s="32"/>
      <c r="AO51" s="72"/>
      <c r="AP51" s="73"/>
      <c r="AQ51" s="32">
        <f>SUM(AQ48:AQ50)</f>
        <v>107</v>
      </c>
      <c r="AR51" s="32">
        <f>SUM(AR48:AR50)</f>
        <v>41</v>
      </c>
      <c r="AS51" s="74"/>
    </row>
    <row r="52" spans="1:45" ht="12.75" customHeight="1" x14ac:dyDescent="0.2">
      <c r="A52" s="74"/>
      <c r="B52" s="5"/>
      <c r="C52" s="72"/>
      <c r="D52" s="73"/>
      <c r="E52" s="32" t="b">
        <f>E49=E16</f>
        <v>1</v>
      </c>
      <c r="F52" s="32"/>
      <c r="G52" s="72"/>
      <c r="H52" s="73"/>
      <c r="I52" s="32" t="b">
        <f>I49=I16</f>
        <v>1</v>
      </c>
      <c r="J52" s="32"/>
      <c r="K52" s="72"/>
      <c r="L52" s="73"/>
      <c r="M52" s="32" t="b">
        <f>M49=M16</f>
        <v>1</v>
      </c>
      <c r="N52" s="32"/>
      <c r="O52" s="72"/>
      <c r="P52" s="73"/>
      <c r="Q52" s="32" t="b">
        <f>Q49=Q16</f>
        <v>0</v>
      </c>
      <c r="R52" s="32"/>
      <c r="S52" s="72"/>
      <c r="T52" s="73"/>
      <c r="U52" s="32" t="b">
        <f>U49=U16</f>
        <v>1</v>
      </c>
      <c r="V52" s="32"/>
      <c r="W52" s="32"/>
      <c r="X52" s="32"/>
      <c r="Y52" s="72"/>
      <c r="Z52" s="73"/>
      <c r="AA52" s="32" t="b">
        <f>AA49=AA16</f>
        <v>1</v>
      </c>
      <c r="AB52" s="32"/>
      <c r="AC52" s="72"/>
      <c r="AD52" s="73"/>
      <c r="AE52" s="32" t="b">
        <f>AE49=AE16</f>
        <v>1</v>
      </c>
      <c r="AF52" s="32"/>
      <c r="AG52" s="72"/>
      <c r="AH52" s="73"/>
      <c r="AI52" s="32" t="b">
        <f>AI49=AI16</f>
        <v>1</v>
      </c>
      <c r="AJ52" s="32"/>
      <c r="AK52" s="72"/>
      <c r="AL52" s="73"/>
      <c r="AM52" s="32" t="b">
        <f>AM49=AM16</f>
        <v>0</v>
      </c>
      <c r="AN52" s="32"/>
      <c r="AO52" s="72"/>
      <c r="AP52" s="73"/>
      <c r="AQ52" s="32" t="b">
        <f>AQ49=AQ16</f>
        <v>1</v>
      </c>
      <c r="AR52" s="32"/>
      <c r="AS52" s="74"/>
    </row>
    <row r="53" spans="1:45" ht="12.75" customHeight="1" x14ac:dyDescent="0.2">
      <c r="A53" s="84" t="s">
        <v>156</v>
      </c>
      <c r="B53" s="85"/>
      <c r="C53" s="91"/>
      <c r="D53" s="92"/>
      <c r="E53" s="90"/>
      <c r="F53" s="90"/>
      <c r="G53" s="91"/>
      <c r="H53" s="92"/>
      <c r="I53" s="90"/>
      <c r="J53" s="90"/>
      <c r="K53" s="91"/>
      <c r="L53" s="92"/>
      <c r="M53" s="90"/>
      <c r="N53" s="90"/>
      <c r="O53" s="91"/>
      <c r="P53" s="92"/>
      <c r="Q53" s="90"/>
      <c r="R53" s="90"/>
      <c r="S53" s="91"/>
      <c r="T53" s="92"/>
      <c r="U53" s="90"/>
      <c r="V53" s="90"/>
      <c r="W53" s="90"/>
      <c r="X53" s="90"/>
      <c r="Y53" s="91"/>
      <c r="Z53" s="92"/>
      <c r="AA53" s="90"/>
      <c r="AB53" s="90"/>
      <c r="AC53" s="91"/>
      <c r="AD53" s="92"/>
      <c r="AE53" s="90"/>
      <c r="AF53" s="90"/>
      <c r="AG53" s="91"/>
      <c r="AH53" s="92"/>
      <c r="AI53" s="90"/>
      <c r="AJ53" s="90"/>
      <c r="AK53" s="91"/>
      <c r="AL53" s="92"/>
      <c r="AM53" s="90"/>
      <c r="AN53" s="90"/>
      <c r="AO53" s="91"/>
      <c r="AP53" s="92"/>
      <c r="AQ53" s="90"/>
      <c r="AR53" s="90"/>
      <c r="AS53" s="85"/>
    </row>
    <row r="54" spans="1:45" s="74" customFormat="1" ht="12.75" customHeight="1" x14ac:dyDescent="0.2">
      <c r="A54" s="93"/>
      <c r="B54" s="93" t="s">
        <v>158</v>
      </c>
      <c r="C54" s="101"/>
      <c r="D54" s="102"/>
      <c r="E54" s="103">
        <f>837+50+627+43+18+116+20+4+6+5+3+2340+541</f>
        <v>4610</v>
      </c>
      <c r="F54" s="103">
        <f>386+657+25+64+50+31+3020</f>
        <v>4233</v>
      </c>
      <c r="G54" s="101"/>
      <c r="H54" s="102"/>
      <c r="K54" s="101"/>
      <c r="L54" s="102"/>
      <c r="M54" s="103"/>
      <c r="N54" s="103"/>
      <c r="O54" s="101"/>
      <c r="P54" s="102"/>
      <c r="Q54" s="103"/>
      <c r="R54" s="103"/>
      <c r="S54" s="101"/>
      <c r="T54" s="102"/>
      <c r="U54" s="103"/>
      <c r="V54" s="103"/>
      <c r="W54" s="103">
        <v>3000</v>
      </c>
      <c r="X54" s="103">
        <v>240</v>
      </c>
      <c r="Y54" s="101"/>
      <c r="Z54" s="102"/>
      <c r="AA54" s="68">
        <f>431.824+25.061+89.169</f>
        <v>546.05399999999997</v>
      </c>
      <c r="AB54" s="68">
        <f>378.471+20.738+43.887</f>
        <v>443.096</v>
      </c>
      <c r="AC54" s="101"/>
      <c r="AD54" s="102"/>
      <c r="AE54" s="103"/>
      <c r="AF54" s="103"/>
      <c r="AG54" s="101"/>
      <c r="AH54" s="102"/>
      <c r="AI54" s="103"/>
      <c r="AJ54" s="103"/>
      <c r="AK54" s="101"/>
      <c r="AL54" s="102"/>
      <c r="AM54" s="103">
        <f>1205+235</f>
        <v>1440</v>
      </c>
      <c r="AN54" s="103">
        <v>1951</v>
      </c>
      <c r="AO54" s="101"/>
      <c r="AP54" s="102"/>
      <c r="AQ54" s="103"/>
      <c r="AR54" s="103"/>
      <c r="AS54" s="93"/>
    </row>
    <row r="55" spans="1:45" s="74" customFormat="1" ht="12.75" customHeight="1" x14ac:dyDescent="0.2">
      <c r="A55" s="93"/>
      <c r="B55" s="93" t="s">
        <v>159</v>
      </c>
      <c r="C55" s="101"/>
      <c r="D55" s="102"/>
      <c r="E55" s="103">
        <f>4+786+169+210</f>
        <v>1169</v>
      </c>
      <c r="F55" s="200">
        <f>352+97+124</f>
        <v>573</v>
      </c>
      <c r="G55" s="101"/>
      <c r="H55" s="102"/>
      <c r="I55" s="103"/>
      <c r="J55" s="200"/>
      <c r="K55" s="101"/>
      <c r="L55" s="102"/>
      <c r="M55" s="103"/>
      <c r="N55" s="200"/>
      <c r="O55" s="101"/>
      <c r="P55" s="102"/>
      <c r="Q55" s="103"/>
      <c r="R55" s="200"/>
      <c r="S55" s="101"/>
      <c r="T55" s="102"/>
      <c r="U55" s="103"/>
      <c r="V55" s="103"/>
      <c r="W55" s="103">
        <v>1174</v>
      </c>
      <c r="X55" s="200">
        <v>684</v>
      </c>
      <c r="Y55" s="101"/>
      <c r="Z55" s="102"/>
      <c r="AA55" s="103"/>
      <c r="AB55" s="200"/>
      <c r="AC55" s="101"/>
      <c r="AD55" s="102"/>
      <c r="AE55" s="103"/>
      <c r="AF55" s="200"/>
      <c r="AG55" s="101"/>
      <c r="AH55" s="102"/>
      <c r="AI55" s="103"/>
      <c r="AJ55" s="200"/>
      <c r="AK55" s="101"/>
      <c r="AL55" s="102"/>
      <c r="AM55" s="103"/>
      <c r="AN55" s="200"/>
      <c r="AO55" s="101"/>
      <c r="AP55" s="102"/>
      <c r="AQ55" s="103"/>
      <c r="AR55" s="200"/>
      <c r="AS55" s="93"/>
    </row>
    <row r="56" spans="1:45" s="74" customFormat="1" ht="12.75" customHeight="1" x14ac:dyDescent="0.2">
      <c r="B56" s="76" t="s">
        <v>160</v>
      </c>
      <c r="C56" s="72"/>
      <c r="D56" s="73"/>
      <c r="E56" s="68">
        <v>16</v>
      </c>
      <c r="F56" s="68">
        <v>2500</v>
      </c>
      <c r="G56" s="72"/>
      <c r="H56" s="73"/>
      <c r="I56" s="68"/>
      <c r="J56" s="68"/>
      <c r="K56" s="72"/>
      <c r="L56" s="73"/>
      <c r="M56" s="68"/>
      <c r="N56" s="68"/>
      <c r="O56" s="72"/>
      <c r="P56" s="73"/>
      <c r="Q56" s="68"/>
      <c r="R56" s="68"/>
      <c r="S56" s="72"/>
      <c r="T56" s="73"/>
      <c r="U56" s="68"/>
      <c r="V56" s="68"/>
      <c r="W56" s="68"/>
      <c r="X56" s="68"/>
      <c r="Y56" s="72"/>
      <c r="Z56" s="73"/>
      <c r="AA56" s="68">
        <f>21.576</f>
        <v>21.576000000000001</v>
      </c>
      <c r="AB56" s="68">
        <v>12.613</v>
      </c>
      <c r="AC56" s="72"/>
      <c r="AD56" s="73"/>
      <c r="AE56" s="68"/>
      <c r="AF56" s="68"/>
      <c r="AG56" s="72"/>
      <c r="AH56" s="73"/>
      <c r="AI56" s="68"/>
      <c r="AJ56" s="68"/>
      <c r="AK56" s="72"/>
      <c r="AL56" s="73"/>
      <c r="AM56" s="68"/>
      <c r="AN56" s="68"/>
      <c r="AO56" s="72"/>
      <c r="AP56" s="73"/>
      <c r="AQ56" s="68">
        <v>14131</v>
      </c>
      <c r="AR56" s="68">
        <v>7661</v>
      </c>
    </row>
    <row r="57" spans="1:45" s="74" customFormat="1" ht="12.75" customHeight="1" x14ac:dyDescent="0.2">
      <c r="B57" s="70" t="s">
        <v>162</v>
      </c>
      <c r="C57" s="72"/>
      <c r="D57" s="73"/>
      <c r="E57" s="68">
        <f>4844+9183+442+7629+477+1192</f>
        <v>23767</v>
      </c>
      <c r="F57" s="68">
        <f>8408</f>
        <v>8408</v>
      </c>
      <c r="G57" s="72"/>
      <c r="H57" s="73"/>
      <c r="I57" s="103"/>
      <c r="J57" s="103"/>
      <c r="K57" s="72"/>
      <c r="L57" s="73"/>
      <c r="M57" s="68">
        <f>452+1120</f>
        <v>1572</v>
      </c>
      <c r="N57" s="68"/>
      <c r="O57" s="72"/>
      <c r="P57" s="73"/>
      <c r="Q57" s="68"/>
      <c r="R57" s="68"/>
      <c r="S57" s="72"/>
      <c r="T57" s="73"/>
      <c r="U57" s="68">
        <f>U28</f>
        <v>2101.8119999999999</v>
      </c>
      <c r="V57" s="68"/>
      <c r="W57" s="68">
        <f>250+27000</f>
        <v>27250</v>
      </c>
      <c r="X57" s="68">
        <f>124</f>
        <v>124</v>
      </c>
      <c r="Y57" s="72"/>
      <c r="Z57" s="73"/>
      <c r="AA57" s="68">
        <f>1895.601+1689.208</f>
        <v>3584.8090000000002</v>
      </c>
      <c r="AB57" s="68">
        <f>1858.441+1755.818</f>
        <v>3614.259</v>
      </c>
      <c r="AC57" s="72"/>
      <c r="AD57" s="73"/>
      <c r="AE57" s="68"/>
      <c r="AF57" s="68"/>
      <c r="AG57" s="72"/>
      <c r="AH57" s="73"/>
      <c r="AI57" s="68">
        <v>200</v>
      </c>
      <c r="AJ57" s="68"/>
      <c r="AK57" s="72"/>
      <c r="AL57" s="73"/>
      <c r="AM57" s="68"/>
      <c r="AN57" s="68"/>
      <c r="AO57" s="72"/>
      <c r="AP57" s="73"/>
      <c r="AQ57" s="68"/>
      <c r="AR57" s="68"/>
    </row>
    <row r="58" spans="1:45" s="74" customFormat="1" ht="12.75" customHeight="1" x14ac:dyDescent="0.2">
      <c r="B58" s="76" t="s">
        <v>163</v>
      </c>
      <c r="C58" s="72"/>
      <c r="D58" s="73"/>
      <c r="E58" s="104"/>
      <c r="F58" s="104"/>
      <c r="G58" s="72"/>
      <c r="H58" s="73"/>
      <c r="I58" s="104"/>
      <c r="J58" s="104"/>
      <c r="K58" s="72"/>
      <c r="L58" s="73"/>
      <c r="M58" s="104"/>
      <c r="N58" s="104"/>
      <c r="O58" s="72"/>
      <c r="P58" s="73"/>
      <c r="Q58" s="104"/>
      <c r="R58" s="104"/>
      <c r="S58" s="72"/>
      <c r="T58" s="73"/>
      <c r="U58" s="104"/>
      <c r="V58" s="104"/>
      <c r="W58" s="104"/>
      <c r="X58" s="104"/>
      <c r="Y58" s="72"/>
      <c r="Z58" s="73"/>
      <c r="AA58" s="104">
        <v>984.86099999999999</v>
      </c>
      <c r="AB58" s="104">
        <v>583.822</v>
      </c>
      <c r="AC58" s="72"/>
      <c r="AD58" s="73"/>
      <c r="AE58" s="104"/>
      <c r="AF58" s="104"/>
      <c r="AG58" s="72"/>
      <c r="AH58" s="73"/>
      <c r="AI58" s="104"/>
      <c r="AJ58" s="104"/>
      <c r="AK58" s="72"/>
      <c r="AL58" s="73"/>
      <c r="AM58" s="104"/>
      <c r="AN58" s="104"/>
      <c r="AO58" s="72"/>
      <c r="AP58" s="73"/>
      <c r="AQ58" s="104"/>
      <c r="AR58" s="104"/>
    </row>
    <row r="59" spans="1:45" ht="12.75" customHeight="1" x14ac:dyDescent="0.2">
      <c r="A59" s="74"/>
      <c r="B59" s="5"/>
      <c r="C59" s="72"/>
      <c r="D59" s="73"/>
      <c r="E59" s="111"/>
      <c r="F59" s="111"/>
      <c r="G59" s="72"/>
      <c r="H59" s="73"/>
      <c r="I59" s="111"/>
      <c r="J59" s="111"/>
      <c r="K59" s="72"/>
      <c r="L59" s="73"/>
      <c r="M59" s="111"/>
      <c r="N59" s="111"/>
      <c r="O59" s="72"/>
      <c r="P59" s="73"/>
      <c r="Q59" s="111"/>
      <c r="R59" s="111"/>
      <c r="S59" s="72"/>
      <c r="T59" s="73"/>
      <c r="U59" s="111"/>
      <c r="V59" s="111"/>
      <c r="W59" s="111"/>
      <c r="X59" s="111"/>
      <c r="Y59" s="72"/>
      <c r="Z59" s="73"/>
      <c r="AA59" s="111"/>
      <c r="AB59" s="111"/>
      <c r="AC59" s="72"/>
      <c r="AD59" s="73"/>
      <c r="AE59" s="111"/>
      <c r="AF59" s="111"/>
      <c r="AG59" s="72"/>
      <c r="AH59" s="73"/>
      <c r="AI59" s="111"/>
      <c r="AJ59" s="111"/>
      <c r="AK59" s="72"/>
      <c r="AL59" s="73"/>
      <c r="AM59" s="111"/>
      <c r="AN59" s="111"/>
      <c r="AO59" s="72"/>
      <c r="AP59" s="73"/>
      <c r="AQ59" s="111"/>
      <c r="AR59" s="111"/>
      <c r="AS59" s="74"/>
    </row>
    <row r="60" spans="1:45" ht="12.75" customHeight="1" x14ac:dyDescent="0.2">
      <c r="A60" s="115" t="s">
        <v>164</v>
      </c>
      <c r="B60" s="116"/>
      <c r="E60" s="111"/>
      <c r="F60" s="111"/>
      <c r="I60" s="111"/>
      <c r="J60" s="111"/>
      <c r="M60" s="111"/>
      <c r="N60" s="111"/>
      <c r="Q60" s="111"/>
      <c r="R60" s="111"/>
      <c r="U60" s="111"/>
      <c r="V60" s="111"/>
      <c r="W60" s="111"/>
      <c r="X60" s="111"/>
      <c r="AA60" s="111"/>
      <c r="AB60" s="111"/>
      <c r="AE60" s="111"/>
      <c r="AF60" s="111"/>
      <c r="AI60" s="111"/>
      <c r="AJ60" s="111"/>
      <c r="AM60" s="111"/>
      <c r="AN60" s="111"/>
      <c r="AQ60" s="111"/>
      <c r="AR60" s="111"/>
    </row>
    <row r="61" spans="1:45" ht="12.75" customHeight="1" x14ac:dyDescent="0.2">
      <c r="A61" s="75"/>
      <c r="B61" s="116"/>
      <c r="E61" s="111"/>
      <c r="F61" s="111"/>
      <c r="I61" s="111"/>
      <c r="J61" s="111"/>
      <c r="M61" s="111"/>
      <c r="N61" s="111"/>
      <c r="Q61" s="111"/>
      <c r="R61" s="111"/>
      <c r="U61" s="111"/>
      <c r="V61" s="111"/>
      <c r="W61" s="111"/>
      <c r="X61" s="111"/>
      <c r="AA61" s="111"/>
      <c r="AB61" s="111"/>
      <c r="AE61" s="111"/>
      <c r="AF61" s="111"/>
      <c r="AI61" s="111"/>
      <c r="AJ61" s="111"/>
      <c r="AM61" s="111"/>
      <c r="AN61" s="111"/>
      <c r="AQ61" s="111"/>
      <c r="AR61" s="111"/>
    </row>
    <row r="62" spans="1:45" ht="12.75" customHeight="1" x14ac:dyDescent="0.2">
      <c r="B62" s="116"/>
      <c r="E62" s="111"/>
      <c r="F62" s="111"/>
      <c r="I62" s="111"/>
      <c r="J62" s="111"/>
      <c r="M62" s="111"/>
      <c r="N62" s="111"/>
      <c r="Q62" s="111"/>
      <c r="R62" s="111"/>
      <c r="U62" s="111"/>
      <c r="V62" s="111"/>
      <c r="W62" s="111"/>
      <c r="X62" s="111"/>
      <c r="AA62" s="111"/>
      <c r="AB62" s="111"/>
      <c r="AE62" s="111"/>
      <c r="AF62" s="111"/>
      <c r="AI62" s="111"/>
      <c r="AJ62" s="111"/>
      <c r="AM62" s="111"/>
      <c r="AN62" s="111"/>
      <c r="AQ62" s="111"/>
      <c r="AR62" s="111"/>
    </row>
    <row r="63" spans="1:45" ht="12.75" customHeight="1" x14ac:dyDescent="0.2">
      <c r="B63" s="13" t="s">
        <v>165</v>
      </c>
      <c r="Y63" s="9" t="s">
        <v>157</v>
      </c>
    </row>
    <row r="64" spans="1:45" ht="12.75" customHeight="1" x14ac:dyDescent="0.2">
      <c r="A64" s="4"/>
      <c r="B64" s="116" t="s">
        <v>166</v>
      </c>
      <c r="E64" s="111">
        <v>1</v>
      </c>
      <c r="F64" s="111">
        <v>1</v>
      </c>
      <c r="I64" s="111"/>
      <c r="J64" s="111"/>
      <c r="M64" s="111"/>
      <c r="N64" s="111"/>
      <c r="Q64" s="111"/>
      <c r="R64" s="111"/>
      <c r="U64" s="111"/>
      <c r="V64" s="111"/>
      <c r="W64" s="111"/>
      <c r="X64" s="111"/>
      <c r="AA64" s="111"/>
      <c r="AB64" s="111"/>
      <c r="AE64" s="111"/>
      <c r="AF64" s="111"/>
      <c r="AI64" s="111"/>
      <c r="AJ64" s="111"/>
      <c r="AM64" s="111"/>
      <c r="AN64" s="111"/>
      <c r="AQ64" s="111"/>
      <c r="AR64" s="111"/>
    </row>
    <row r="65" spans="1:45" ht="12.75" customHeight="1" x14ac:dyDescent="0.2">
      <c r="B65" s="116" t="s">
        <v>169</v>
      </c>
      <c r="E65" s="111">
        <v>5</v>
      </c>
      <c r="F65" s="111">
        <v>5</v>
      </c>
      <c r="I65" s="111"/>
      <c r="J65" s="111"/>
      <c r="M65" s="111"/>
      <c r="N65" s="111"/>
      <c r="Q65" s="111"/>
      <c r="R65" s="111"/>
      <c r="U65" s="111"/>
      <c r="V65" s="111"/>
      <c r="W65" s="111"/>
      <c r="X65" s="111"/>
      <c r="AA65" s="111"/>
      <c r="AB65" s="111"/>
      <c r="AE65" s="111"/>
      <c r="AF65" s="111"/>
      <c r="AI65" s="111"/>
      <c r="AJ65" s="111"/>
      <c r="AM65" s="111"/>
      <c r="AN65" s="111"/>
      <c r="AQ65" s="111"/>
      <c r="AR65" s="111"/>
    </row>
    <row r="66" spans="1:45" ht="12.75" customHeight="1" x14ac:dyDescent="0.2">
      <c r="A66" s="74"/>
      <c r="B66" s="116"/>
      <c r="C66" s="72"/>
      <c r="D66" s="73"/>
      <c r="E66" s="120"/>
      <c r="F66" s="120"/>
      <c r="G66" s="72"/>
      <c r="H66" s="73"/>
      <c r="I66" s="120"/>
      <c r="J66" s="120"/>
      <c r="K66" s="72"/>
      <c r="L66" s="73"/>
      <c r="M66" s="120"/>
      <c r="N66" s="120"/>
      <c r="O66" s="72"/>
      <c r="P66" s="73"/>
      <c r="Q66" s="120"/>
      <c r="R66" s="120"/>
      <c r="S66" s="72"/>
      <c r="T66" s="73"/>
      <c r="U66" s="120"/>
      <c r="V66" s="120"/>
      <c r="W66" s="120"/>
      <c r="X66" s="120"/>
      <c r="Y66" s="72"/>
      <c r="Z66" s="73"/>
      <c r="AA66" s="120"/>
      <c r="AB66" s="120"/>
      <c r="AC66" s="72"/>
      <c r="AD66" s="73"/>
      <c r="AE66" s="120"/>
      <c r="AF66" s="120"/>
      <c r="AG66" s="72"/>
      <c r="AH66" s="73"/>
      <c r="AI66" s="120"/>
      <c r="AJ66" s="120"/>
      <c r="AK66" s="72"/>
      <c r="AL66" s="73"/>
      <c r="AM66" s="120"/>
      <c r="AN66" s="120"/>
      <c r="AO66" s="72"/>
      <c r="AP66" s="73"/>
      <c r="AQ66" s="120"/>
      <c r="AR66" s="120"/>
      <c r="AS66" s="74"/>
    </row>
    <row r="67" spans="1:45" ht="12.75" customHeight="1" x14ac:dyDescent="0.2">
      <c r="A67" s="121" t="s">
        <v>170</v>
      </c>
      <c r="C67" s="72"/>
      <c r="D67" s="73"/>
      <c r="E67" s="120"/>
      <c r="F67" s="120"/>
      <c r="G67" s="72"/>
      <c r="H67" s="73"/>
      <c r="I67" s="120"/>
      <c r="J67" s="120"/>
      <c r="K67" s="72"/>
      <c r="L67" s="73"/>
      <c r="M67" s="120"/>
      <c r="N67" s="120"/>
      <c r="O67" s="72"/>
      <c r="P67" s="73"/>
      <c r="Q67" s="120"/>
      <c r="R67" s="120"/>
      <c r="S67" s="72"/>
      <c r="T67" s="73"/>
      <c r="U67" s="120"/>
      <c r="V67" s="120"/>
      <c r="W67" s="120"/>
      <c r="X67" s="120"/>
      <c r="Y67" s="72"/>
      <c r="Z67" s="73"/>
      <c r="AA67" s="120"/>
      <c r="AB67" s="120"/>
      <c r="AC67" s="72"/>
      <c r="AD67" s="73"/>
      <c r="AE67" s="120"/>
      <c r="AF67" s="120"/>
      <c r="AG67" s="72"/>
      <c r="AH67" s="73"/>
      <c r="AI67" s="120"/>
      <c r="AJ67" s="120"/>
      <c r="AK67" s="72"/>
      <c r="AL67" s="73"/>
      <c r="AM67" s="120"/>
      <c r="AN67" s="120"/>
      <c r="AO67" s="72"/>
      <c r="AP67" s="73"/>
      <c r="AQ67" s="120"/>
      <c r="AR67" s="120"/>
      <c r="AS67" s="74"/>
    </row>
    <row r="68" spans="1:45" s="74" customFormat="1" ht="12.75" customHeight="1" x14ac:dyDescent="0.2">
      <c r="A68" s="122"/>
      <c r="B68" s="122" t="s">
        <v>171</v>
      </c>
      <c r="C68" s="123"/>
      <c r="D68" s="124"/>
      <c r="E68" s="35" t="s">
        <v>454</v>
      </c>
      <c r="F68" s="35"/>
      <c r="G68" s="123"/>
      <c r="H68" s="124"/>
      <c r="I68" s="35" t="s">
        <v>455</v>
      </c>
      <c r="J68" s="35"/>
      <c r="K68" s="123"/>
      <c r="L68" s="124"/>
      <c r="M68" s="35" t="s">
        <v>186</v>
      </c>
      <c r="N68" s="35"/>
      <c r="O68" s="123"/>
      <c r="P68" s="124"/>
      <c r="Q68" s="35" t="s">
        <v>456</v>
      </c>
      <c r="R68" s="35"/>
      <c r="S68" s="123"/>
      <c r="T68" s="124"/>
      <c r="U68" s="35"/>
      <c r="V68" s="35"/>
      <c r="W68" s="35" t="s">
        <v>457</v>
      </c>
      <c r="X68" s="35"/>
      <c r="Y68" s="123"/>
      <c r="Z68" s="124"/>
      <c r="AA68" s="35" t="s">
        <v>225</v>
      </c>
      <c r="AB68" s="35"/>
      <c r="AC68" s="123"/>
      <c r="AD68" s="124"/>
      <c r="AE68" s="35" t="s">
        <v>458</v>
      </c>
      <c r="AF68" s="35"/>
      <c r="AG68" s="123"/>
      <c r="AH68" s="124"/>
      <c r="AI68" s="35" t="s">
        <v>459</v>
      </c>
      <c r="AJ68" s="35"/>
      <c r="AK68" s="123"/>
      <c r="AL68" s="124"/>
      <c r="AM68" s="35" t="s">
        <v>364</v>
      </c>
      <c r="AN68" s="35"/>
      <c r="AO68" s="123"/>
      <c r="AP68" s="124"/>
      <c r="AQ68" s="35" t="s">
        <v>200</v>
      </c>
      <c r="AR68" s="35"/>
      <c r="AS68" s="122"/>
    </row>
    <row r="69" spans="1:45" ht="12.75" customHeight="1" x14ac:dyDescent="0.2">
      <c r="A69" s="85"/>
      <c r="B69" s="85"/>
      <c r="C69" s="91"/>
      <c r="D69" s="92"/>
      <c r="E69" s="127"/>
      <c r="F69" s="85"/>
      <c r="G69" s="91"/>
      <c r="H69" s="92"/>
      <c r="I69" s="127"/>
      <c r="J69" s="85"/>
      <c r="K69" s="91"/>
      <c r="L69" s="92"/>
      <c r="M69" s="127"/>
      <c r="N69" s="85"/>
      <c r="O69" s="91"/>
      <c r="P69" s="92"/>
      <c r="Q69" s="127"/>
      <c r="R69" s="85"/>
      <c r="S69" s="91"/>
      <c r="T69" s="92"/>
      <c r="U69" s="127"/>
      <c r="V69" s="127"/>
      <c r="W69" s="127"/>
      <c r="X69" s="85"/>
      <c r="Y69" s="91"/>
      <c r="Z69" s="92"/>
      <c r="AA69" s="127"/>
      <c r="AB69" s="85"/>
      <c r="AC69" s="91"/>
      <c r="AD69" s="92"/>
      <c r="AE69" s="127"/>
      <c r="AF69" s="85"/>
      <c r="AG69" s="91"/>
      <c r="AH69" s="92"/>
      <c r="AI69" s="127"/>
      <c r="AJ69" s="85"/>
      <c r="AK69" s="91"/>
      <c r="AL69" s="92"/>
      <c r="AM69" s="127"/>
      <c r="AN69" s="85"/>
      <c r="AO69" s="91"/>
      <c r="AP69" s="92"/>
      <c r="AQ69" s="127"/>
      <c r="AR69" s="85"/>
      <c r="AS69" s="85"/>
    </row>
    <row r="70" spans="1:45" s="74" customFormat="1" ht="12.75" customHeight="1" x14ac:dyDescent="0.2">
      <c r="A70" s="122"/>
      <c r="B70" s="122" t="s">
        <v>217</v>
      </c>
      <c r="C70" s="123"/>
      <c r="D70" s="124"/>
      <c r="E70" s="35"/>
      <c r="F70" s="35"/>
      <c r="G70" s="123"/>
      <c r="H70" s="124"/>
      <c r="I70" s="35"/>
      <c r="J70" s="35"/>
      <c r="K70" s="123"/>
      <c r="L70" s="124"/>
      <c r="M70" s="35"/>
      <c r="N70" s="35"/>
      <c r="O70" s="123"/>
      <c r="P70" s="124"/>
      <c r="Q70" s="35"/>
      <c r="R70" s="35"/>
      <c r="S70" s="123"/>
      <c r="T70" s="124"/>
      <c r="U70" s="35"/>
      <c r="V70" s="35"/>
      <c r="W70" s="35"/>
      <c r="X70" s="35"/>
      <c r="Y70" s="123"/>
      <c r="Z70" s="124"/>
      <c r="AA70" s="35"/>
      <c r="AB70" s="35"/>
      <c r="AC70" s="123"/>
      <c r="AD70" s="124"/>
      <c r="AE70" s="35"/>
      <c r="AF70" s="35"/>
      <c r="AG70" s="123"/>
      <c r="AH70" s="124"/>
      <c r="AI70" s="35"/>
      <c r="AJ70" s="35"/>
      <c r="AK70" s="123"/>
      <c r="AL70" s="124"/>
      <c r="AM70" s="35"/>
      <c r="AN70" s="35"/>
      <c r="AO70" s="123"/>
      <c r="AP70" s="124"/>
      <c r="AQ70" s="35"/>
      <c r="AR70" s="35"/>
      <c r="AS70" s="122"/>
    </row>
    <row r="71" spans="1:45" ht="12.75" customHeight="1" x14ac:dyDescent="0.2">
      <c r="A71" s="85"/>
      <c r="B71" s="85"/>
      <c r="C71" s="91"/>
      <c r="D71" s="92"/>
      <c r="E71" s="130"/>
      <c r="F71" s="85"/>
      <c r="G71" s="91"/>
      <c r="H71" s="92"/>
      <c r="I71" s="130"/>
      <c r="J71" s="85"/>
      <c r="K71" s="91"/>
      <c r="L71" s="92"/>
      <c r="M71" s="130"/>
      <c r="N71" s="85"/>
      <c r="O71" s="91"/>
      <c r="P71" s="92"/>
      <c r="Q71" s="130"/>
      <c r="R71" s="85"/>
      <c r="S71" s="91"/>
      <c r="T71" s="92"/>
      <c r="U71" s="130"/>
      <c r="V71" s="130"/>
      <c r="W71" s="130"/>
      <c r="X71" s="85"/>
      <c r="Y71" s="91"/>
      <c r="Z71" s="92"/>
      <c r="AA71" s="130"/>
      <c r="AB71" s="85"/>
      <c r="AC71" s="91"/>
      <c r="AD71" s="92"/>
      <c r="AE71" s="130"/>
      <c r="AF71" s="85"/>
      <c r="AG71" s="91"/>
      <c r="AH71" s="92"/>
      <c r="AI71" s="130"/>
      <c r="AJ71" s="85"/>
      <c r="AK71" s="91"/>
      <c r="AL71" s="92"/>
      <c r="AM71" s="130"/>
      <c r="AN71" s="85"/>
      <c r="AO71" s="91"/>
      <c r="AP71" s="92"/>
      <c r="AQ71" s="130"/>
      <c r="AR71" s="85"/>
      <c r="AS71" s="85"/>
    </row>
    <row r="72" spans="1:45" s="74" customFormat="1" ht="12.75" customHeight="1" x14ac:dyDescent="0.2">
      <c r="A72" s="93"/>
      <c r="B72" s="93" t="s">
        <v>233</v>
      </c>
      <c r="C72" s="101"/>
      <c r="D72" s="102"/>
      <c r="E72" s="93"/>
      <c r="F72" s="93"/>
      <c r="G72" s="101"/>
      <c r="H72" s="102"/>
      <c r="I72" s="93"/>
      <c r="J72" s="93"/>
      <c r="K72" s="101"/>
      <c r="L72" s="102"/>
      <c r="M72" s="93"/>
      <c r="N72" s="93"/>
      <c r="O72" s="101"/>
      <c r="P72" s="102"/>
      <c r="Q72" s="93"/>
      <c r="R72" s="93"/>
      <c r="S72" s="101"/>
      <c r="T72" s="102"/>
      <c r="U72" s="93"/>
      <c r="V72" s="93"/>
      <c r="W72" s="93" t="s">
        <v>237</v>
      </c>
      <c r="X72" s="93"/>
      <c r="Y72" s="101"/>
      <c r="Z72" s="102"/>
      <c r="AA72" s="93"/>
      <c r="AB72" s="93"/>
      <c r="AC72" s="101"/>
      <c r="AD72" s="102"/>
      <c r="AE72" s="93"/>
      <c r="AF72" s="93"/>
      <c r="AG72" s="101"/>
      <c r="AH72" s="102"/>
      <c r="AI72" s="93"/>
      <c r="AJ72" s="93"/>
      <c r="AK72" s="101"/>
      <c r="AL72" s="102"/>
      <c r="AM72" s="93"/>
      <c r="AN72" s="93"/>
      <c r="AO72" s="101"/>
      <c r="AP72" s="102"/>
      <c r="AQ72" s="93"/>
      <c r="AR72" s="93"/>
      <c r="AS72" s="93"/>
    </row>
    <row r="73" spans="1:45" ht="12.75" customHeight="1" x14ac:dyDescent="0.2">
      <c r="A73" s="85"/>
      <c r="B73" s="85"/>
      <c r="C73" s="91"/>
      <c r="D73" s="92"/>
      <c r="E73" s="85"/>
      <c r="F73" s="85"/>
      <c r="G73" s="91"/>
      <c r="H73" s="92"/>
      <c r="I73" s="85"/>
      <c r="J73" s="85"/>
      <c r="K73" s="91"/>
      <c r="L73" s="92"/>
      <c r="M73" s="85"/>
      <c r="N73" s="85"/>
      <c r="O73" s="91"/>
      <c r="P73" s="92"/>
      <c r="Q73" s="85"/>
      <c r="R73" s="85"/>
      <c r="S73" s="91"/>
      <c r="T73" s="92"/>
      <c r="U73" s="85"/>
      <c r="V73" s="85"/>
      <c r="W73" s="85"/>
      <c r="X73" s="85"/>
      <c r="Y73" s="91"/>
      <c r="Z73" s="92"/>
      <c r="AA73" s="85"/>
      <c r="AB73" s="85"/>
      <c r="AC73" s="91"/>
      <c r="AD73" s="92"/>
      <c r="AE73" s="85"/>
      <c r="AF73" s="85"/>
      <c r="AG73" s="91"/>
      <c r="AH73" s="92"/>
      <c r="AI73" s="85"/>
      <c r="AJ73" s="85"/>
      <c r="AK73" s="91"/>
      <c r="AL73" s="92"/>
      <c r="AM73" s="85"/>
      <c r="AN73" s="85"/>
      <c r="AO73" s="91"/>
      <c r="AP73" s="92"/>
      <c r="AQ73" s="85"/>
      <c r="AR73" s="85"/>
      <c r="AS73" s="85"/>
    </row>
    <row r="74" spans="1:45" ht="12.75" customHeight="1" x14ac:dyDescent="0.2">
      <c r="A74" s="85"/>
      <c r="B74" s="85"/>
      <c r="C74" s="91"/>
      <c r="D74" s="92"/>
      <c r="E74" s="85"/>
      <c r="F74" s="85"/>
      <c r="G74" s="91"/>
      <c r="H74" s="92"/>
      <c r="I74" s="85"/>
      <c r="J74" s="85"/>
      <c r="K74" s="91"/>
      <c r="L74" s="92"/>
      <c r="M74" s="85"/>
      <c r="N74" s="85"/>
      <c r="O74" s="91"/>
      <c r="P74" s="92"/>
      <c r="Q74" s="85"/>
      <c r="R74" s="85"/>
      <c r="S74" s="91"/>
      <c r="T74" s="92"/>
      <c r="U74" s="85"/>
      <c r="V74" s="85"/>
      <c r="W74" s="85"/>
      <c r="X74" s="85"/>
      <c r="Y74" s="91"/>
      <c r="Z74" s="92"/>
      <c r="AA74" s="85"/>
      <c r="AB74" s="85"/>
      <c r="AC74" s="91"/>
      <c r="AD74" s="92"/>
      <c r="AE74" s="85"/>
      <c r="AF74" s="85"/>
      <c r="AG74" s="91"/>
      <c r="AH74" s="92"/>
      <c r="AI74" s="85"/>
      <c r="AJ74" s="85"/>
      <c r="AK74" s="91"/>
      <c r="AL74" s="92"/>
      <c r="AM74" s="85"/>
      <c r="AN74" s="85"/>
      <c r="AO74" s="91"/>
      <c r="AP74" s="92"/>
      <c r="AQ74" s="85"/>
      <c r="AR74" s="85"/>
      <c r="AS74" s="85"/>
    </row>
    <row r="75" spans="1:45" s="140" customFormat="1" ht="12.75" customHeight="1" x14ac:dyDescent="0.2">
      <c r="A75" s="134" t="s">
        <v>241</v>
      </c>
      <c r="C75" s="139"/>
      <c r="D75" s="138"/>
      <c r="E75" s="140" t="s">
        <v>374</v>
      </c>
      <c r="F75" s="135"/>
      <c r="G75" s="139"/>
      <c r="H75" s="138"/>
      <c r="I75" s="140" t="s">
        <v>460</v>
      </c>
      <c r="J75" s="135"/>
      <c r="K75" s="139"/>
      <c r="L75" s="138"/>
      <c r="N75" s="135"/>
      <c r="O75" s="139"/>
      <c r="P75" s="138"/>
      <c r="R75" s="135"/>
      <c r="S75" s="139"/>
      <c r="T75" s="138"/>
      <c r="X75" s="135"/>
      <c r="Y75" s="139"/>
      <c r="Z75" s="138"/>
      <c r="AB75" s="135"/>
      <c r="AC75" s="139"/>
      <c r="AD75" s="138"/>
      <c r="AF75" s="135"/>
      <c r="AG75" s="139"/>
      <c r="AH75" s="138"/>
      <c r="AJ75" s="135"/>
      <c r="AK75" s="139"/>
      <c r="AL75" s="138"/>
      <c r="AN75" s="135"/>
      <c r="AO75" s="139"/>
      <c r="AP75" s="138"/>
      <c r="AQ75" s="140" t="s">
        <v>461</v>
      </c>
      <c r="AR75" s="135"/>
      <c r="AS75" s="135"/>
    </row>
    <row r="76" spans="1:45" s="74" customFormat="1" ht="12.75" customHeight="1" x14ac:dyDescent="0.2">
      <c r="A76" s="93"/>
      <c r="B76" s="93" t="s">
        <v>260</v>
      </c>
      <c r="C76" s="101"/>
      <c r="D76" s="102"/>
      <c r="E76" s="93"/>
      <c r="F76" s="93"/>
      <c r="G76" s="101"/>
      <c r="H76" s="102"/>
      <c r="I76" s="93" t="s">
        <v>462</v>
      </c>
      <c r="J76" s="93"/>
      <c r="K76" s="101"/>
      <c r="L76" s="102"/>
      <c r="M76" s="93"/>
      <c r="N76" s="93"/>
      <c r="O76" s="101"/>
      <c r="P76" s="102"/>
      <c r="Q76" s="93" t="s">
        <v>463</v>
      </c>
      <c r="R76" s="93"/>
      <c r="S76" s="101"/>
      <c r="T76" s="102"/>
      <c r="U76" s="93"/>
      <c r="V76" s="93"/>
      <c r="W76" s="93"/>
      <c r="X76" s="93"/>
      <c r="Y76" s="101"/>
      <c r="Z76" s="102"/>
      <c r="AA76" s="93"/>
      <c r="AB76" s="93"/>
      <c r="AC76" s="101"/>
      <c r="AD76" s="102"/>
      <c r="AE76" s="93"/>
      <c r="AF76" s="93"/>
      <c r="AG76" s="101"/>
      <c r="AH76" s="102"/>
      <c r="AI76" s="93"/>
      <c r="AJ76" s="93"/>
      <c r="AK76" s="101"/>
      <c r="AL76" s="102"/>
      <c r="AM76" s="93"/>
      <c r="AN76" s="93"/>
      <c r="AO76" s="101"/>
      <c r="AP76" s="102"/>
      <c r="AQ76" s="93" t="s">
        <v>464</v>
      </c>
      <c r="AR76" s="93"/>
      <c r="AS76" s="93"/>
    </row>
    <row r="77" spans="1:45" s="74" customFormat="1" ht="12.75" customHeight="1" x14ac:dyDescent="0.2">
      <c r="A77" s="142"/>
      <c r="B77" s="93" t="s">
        <v>265</v>
      </c>
      <c r="C77" s="101"/>
      <c r="D77" s="102"/>
      <c r="E77" s="93"/>
      <c r="F77" s="93"/>
      <c r="G77" s="101"/>
      <c r="H77" s="102"/>
      <c r="I77" s="93"/>
      <c r="J77" s="93"/>
      <c r="K77" s="101"/>
      <c r="L77" s="102"/>
      <c r="M77" s="93"/>
      <c r="N77" s="93"/>
      <c r="O77" s="101"/>
      <c r="P77" s="102"/>
      <c r="Q77" s="93"/>
      <c r="R77" s="93"/>
      <c r="S77" s="101"/>
      <c r="T77" s="102"/>
      <c r="U77" s="93"/>
      <c r="V77" s="93"/>
      <c r="W77" s="93"/>
      <c r="X77" s="93"/>
      <c r="Y77" s="101"/>
      <c r="Z77" s="102"/>
      <c r="AA77" s="93"/>
      <c r="AB77" s="93"/>
      <c r="AC77" s="101"/>
      <c r="AD77" s="102"/>
      <c r="AE77" s="93"/>
      <c r="AF77" s="93"/>
      <c r="AG77" s="101"/>
      <c r="AH77" s="102"/>
      <c r="AI77" s="93"/>
      <c r="AJ77" s="93"/>
      <c r="AK77" s="101"/>
      <c r="AL77" s="102"/>
      <c r="AM77" s="93"/>
      <c r="AN77" s="93"/>
      <c r="AO77" s="101"/>
      <c r="AP77" s="102"/>
      <c r="AQ77" s="93"/>
      <c r="AR77" s="93"/>
      <c r="AS77" s="93"/>
    </row>
    <row r="78" spans="1:45" ht="12.75" customHeight="1" x14ac:dyDescent="0.25">
      <c r="A78" s="143"/>
      <c r="B78" s="85"/>
      <c r="C78" s="91"/>
      <c r="D78" s="92"/>
      <c r="E78" s="85"/>
      <c r="F78" s="85"/>
      <c r="G78" s="91"/>
      <c r="H78" s="92"/>
      <c r="I78" s="85"/>
      <c r="J78" s="85"/>
      <c r="K78" s="91"/>
      <c r="L78" s="92"/>
      <c r="M78" s="85"/>
      <c r="N78" s="85"/>
      <c r="O78" s="91"/>
      <c r="P78" s="92"/>
      <c r="Q78" s="85"/>
      <c r="R78" s="85"/>
      <c r="S78" s="91"/>
      <c r="T78" s="92"/>
      <c r="U78" s="85"/>
      <c r="V78" s="85"/>
      <c r="W78" s="85"/>
      <c r="X78" s="85"/>
      <c r="Y78" s="91"/>
      <c r="Z78" s="92"/>
      <c r="AA78" s="85"/>
      <c r="AB78" s="85"/>
      <c r="AC78" s="91"/>
      <c r="AD78" s="92"/>
      <c r="AE78" s="85"/>
      <c r="AF78" s="85"/>
      <c r="AG78" s="91"/>
      <c r="AH78" s="92"/>
      <c r="AI78" s="85"/>
      <c r="AJ78" s="85"/>
      <c r="AK78" s="91"/>
      <c r="AL78" s="92"/>
      <c r="AM78" s="85"/>
      <c r="AN78" s="85"/>
      <c r="AO78" s="91"/>
      <c r="AP78" s="92"/>
      <c r="AQ78" s="85"/>
      <c r="AR78" s="85"/>
      <c r="AS78" s="85"/>
    </row>
    <row r="79" spans="1:45" ht="12.75" customHeight="1" x14ac:dyDescent="0.2">
      <c r="A79" s="74" t="s">
        <v>267</v>
      </c>
      <c r="E79" s="8"/>
      <c r="F79" s="120"/>
      <c r="I79" s="8"/>
      <c r="J79" s="120"/>
      <c r="M79" s="8"/>
      <c r="N79" s="120"/>
      <c r="Q79" s="8"/>
      <c r="R79" s="120"/>
      <c r="U79" s="8"/>
      <c r="V79" s="8"/>
      <c r="W79" s="8"/>
      <c r="X79" s="120"/>
      <c r="AA79" s="8"/>
      <c r="AB79" s="120"/>
      <c r="AE79" s="8"/>
      <c r="AF79" s="120"/>
      <c r="AI79" s="8"/>
      <c r="AJ79" s="120"/>
      <c r="AM79" s="8"/>
      <c r="AN79" s="120"/>
      <c r="AQ79" s="8"/>
      <c r="AR79" s="120"/>
    </row>
    <row r="80" spans="1:45" ht="12.75" customHeight="1" x14ac:dyDescent="0.2">
      <c r="A80" s="74"/>
      <c r="E80" s="8"/>
      <c r="F80" s="120"/>
      <c r="I80" s="8"/>
      <c r="J80" s="120"/>
      <c r="M80" s="8"/>
      <c r="N80" s="120"/>
      <c r="Q80" s="8"/>
      <c r="R80" s="120"/>
      <c r="U80" s="8"/>
      <c r="V80" s="8"/>
      <c r="W80" s="8"/>
      <c r="X80" s="120"/>
      <c r="AA80" s="8"/>
      <c r="AB80" s="120"/>
      <c r="AE80" s="8"/>
      <c r="AF80" s="120"/>
      <c r="AI80" s="8"/>
      <c r="AJ80" s="120"/>
      <c r="AM80" s="8"/>
      <c r="AN80" s="120"/>
      <c r="AQ80" s="8"/>
      <c r="AR80" s="120"/>
    </row>
    <row r="81" spans="1:118" s="27" customFormat="1" ht="12.75" customHeight="1" x14ac:dyDescent="0.25">
      <c r="A81" s="145" t="s">
        <v>268</v>
      </c>
      <c r="B81" s="146"/>
      <c r="C81" s="146"/>
      <c r="D81" s="92"/>
      <c r="E81" s="146"/>
      <c r="F81" s="146"/>
      <c r="G81" s="146"/>
      <c r="H81" s="92"/>
      <c r="I81" s="146"/>
      <c r="J81" s="146"/>
      <c r="K81" s="146"/>
      <c r="L81" s="92"/>
      <c r="M81" s="146"/>
      <c r="N81" s="146"/>
      <c r="O81" s="146"/>
      <c r="P81" s="92"/>
      <c r="Q81" s="146"/>
      <c r="R81" s="146"/>
      <c r="S81" s="146"/>
      <c r="T81" s="92"/>
      <c r="U81" s="146"/>
      <c r="V81" s="146"/>
      <c r="W81" s="146"/>
      <c r="X81" s="146"/>
      <c r="Y81" s="146"/>
      <c r="Z81" s="92"/>
      <c r="AA81" s="146"/>
      <c r="AB81" s="146"/>
      <c r="AC81" s="146"/>
      <c r="AD81" s="92"/>
      <c r="AE81" s="146"/>
      <c r="AF81" s="146"/>
      <c r="AG81" s="146"/>
      <c r="AH81" s="92"/>
      <c r="AI81" s="146"/>
      <c r="AJ81" s="146"/>
      <c r="AK81" s="146"/>
      <c r="AL81" s="92"/>
      <c r="AM81" s="146"/>
      <c r="AN81" s="146"/>
      <c r="AO81" s="146"/>
      <c r="AP81" s="92"/>
      <c r="AQ81" s="146"/>
      <c r="AR81" s="146"/>
      <c r="AS81" s="146"/>
    </row>
    <row r="82" spans="1:118" ht="12.75" customHeight="1" x14ac:dyDescent="0.2">
      <c r="A82" s="148" t="s">
        <v>269</v>
      </c>
      <c r="B82" s="148"/>
      <c r="C82" s="91"/>
      <c r="D82" s="92"/>
      <c r="E82" s="85"/>
      <c r="F82" s="85"/>
      <c r="G82" s="91"/>
      <c r="H82" s="92"/>
      <c r="I82" s="85"/>
      <c r="J82" s="85"/>
      <c r="K82" s="91"/>
      <c r="L82" s="92"/>
      <c r="M82" s="85"/>
      <c r="N82" s="85"/>
      <c r="O82" s="91"/>
      <c r="P82" s="92"/>
      <c r="Q82" s="85"/>
      <c r="R82" s="85"/>
      <c r="S82" s="91"/>
      <c r="T82" s="92"/>
      <c r="U82" s="85"/>
      <c r="V82" s="85"/>
      <c r="W82" s="85"/>
      <c r="X82" s="85"/>
      <c r="Y82" s="91"/>
      <c r="Z82" s="92"/>
      <c r="AA82" s="85"/>
      <c r="AB82" s="85"/>
      <c r="AC82" s="91"/>
      <c r="AD82" s="92"/>
      <c r="AE82" s="85"/>
      <c r="AF82" s="85"/>
      <c r="AG82" s="91"/>
      <c r="AH82" s="92"/>
      <c r="AI82" s="85"/>
      <c r="AJ82" s="85"/>
      <c r="AK82" s="91"/>
      <c r="AL82" s="92"/>
      <c r="AM82" s="85"/>
      <c r="AN82" s="85"/>
      <c r="AO82" s="91"/>
      <c r="AP82" s="92"/>
      <c r="AQ82" s="85"/>
      <c r="AR82" s="85"/>
      <c r="AS82" s="85"/>
    </row>
    <row r="83" spans="1:118" ht="12.75" customHeight="1" x14ac:dyDescent="0.2">
      <c r="B83" s="149" t="s">
        <v>270</v>
      </c>
      <c r="E83" s="130">
        <f>(E24/E120)/E$142</f>
        <v>1.7304041812097701E-2</v>
      </c>
      <c r="F83" s="150"/>
      <c r="I83" s="130">
        <f>(I24/I120)/I$142</f>
        <v>-1.0206004278762481E-2</v>
      </c>
      <c r="J83" s="150"/>
      <c r="M83" s="130">
        <f>(M24/M120)/M$142</f>
        <v>4.4541958160531574E-2</v>
      </c>
      <c r="N83" s="150"/>
      <c r="Q83" s="130">
        <f>(Q24/Q120)/Q$142</f>
        <v>1.7493792326180153E-2</v>
      </c>
      <c r="R83" s="150"/>
      <c r="U83" s="130">
        <f>(U24/U120)/U$142</f>
        <v>-0.49381088953712626</v>
      </c>
      <c r="V83" s="130">
        <f>(V24/V120)/V$142</f>
        <v>0</v>
      </c>
      <c r="W83" s="130">
        <f>(W24/W120)/W$142</f>
        <v>6.1217652089361654E-2</v>
      </c>
      <c r="X83" s="150"/>
      <c r="AA83" s="130">
        <f>(AA24/AA120)/AA$142</f>
        <v>1.0467492651889065E-2</v>
      </c>
      <c r="AB83" s="150"/>
      <c r="AE83" s="130">
        <f>(AE24/AE120)/AE$142</f>
        <v>4.3544446249004568E-2</v>
      </c>
      <c r="AF83" s="150"/>
      <c r="AI83" s="130">
        <f>(AI24/AI120)/AI$142</f>
        <v>2.3660789726376984E-2</v>
      </c>
      <c r="AJ83" s="150"/>
      <c r="AM83" s="130">
        <f>(AM24/AM120)/AM$142</f>
        <v>0.15231689722481542</v>
      </c>
      <c r="AN83" s="150"/>
      <c r="AQ83" s="130">
        <f>(AQ24/AQ120)/AQ$142</f>
        <v>2.5475002653646108E-3</v>
      </c>
      <c r="AR83" s="150"/>
    </row>
    <row r="84" spans="1:118" ht="12.75" customHeight="1" x14ac:dyDescent="0.2">
      <c r="B84" s="155" t="s">
        <v>271</v>
      </c>
      <c r="E84" s="130">
        <f>(E24/E123)/E$142</f>
        <v>8.7891982875333896E-2</v>
      </c>
      <c r="F84" s="150"/>
      <c r="I84" s="130">
        <f>(I24/I123)/I$142</f>
        <v>-2.7193081002319774E-2</v>
      </c>
      <c r="J84" s="150"/>
      <c r="M84" s="130">
        <f>(M24/M123)/M$142</f>
        <v>0.27158271467166961</v>
      </c>
      <c r="N84" s="150"/>
      <c r="Q84" s="130">
        <f>(Q24/Q123)/Q$142</f>
        <v>0.21295203282972128</v>
      </c>
      <c r="R84" s="150"/>
      <c r="U84" s="130">
        <f>(U24/U123)/U$142</f>
        <v>5.8855573781681079</v>
      </c>
      <c r="V84" s="130">
        <f>(V24/V123)/V$142</f>
        <v>0</v>
      </c>
      <c r="W84" s="130">
        <f>(W24/W123)/W$142</f>
        <v>0.14955496408231017</v>
      </c>
      <c r="X84" s="150"/>
      <c r="AA84" s="130">
        <f>(AA24/AA123)/AA$142</f>
        <v>8.7234011845794546E-2</v>
      </c>
      <c r="AB84" s="150"/>
      <c r="AE84" s="130">
        <f>(AE24/AE123)/AE$142</f>
        <v>0.29969292596415059</v>
      </c>
      <c r="AF84" s="150"/>
      <c r="AI84" s="130">
        <f>(AI24/AI123)/AI$142</f>
        <v>0.13536859367374884</v>
      </c>
      <c r="AJ84" s="150"/>
      <c r="AM84" s="130">
        <f>(AM24/AM123)/AM$142</f>
        <v>0.31610232926775572</v>
      </c>
      <c r="AN84" s="150"/>
      <c r="AQ84" s="130">
        <f>(AQ24/AQ123)/AQ$142</f>
        <v>1.1148962527098173E-2</v>
      </c>
      <c r="AR84" s="150"/>
    </row>
    <row r="85" spans="1:118" ht="12.75" customHeight="1" x14ac:dyDescent="0.2">
      <c r="B85" s="156" t="s">
        <v>8</v>
      </c>
      <c r="E85" s="130">
        <f>(E7-E8)/E120</f>
        <v>2.3132089200102297E-2</v>
      </c>
      <c r="F85" s="150"/>
      <c r="I85" s="130">
        <f>(I7-I8)/I120</f>
        <v>-2.1955204327653934E-2</v>
      </c>
      <c r="J85" s="150"/>
      <c r="M85" s="130">
        <f>(M7-M8)/M120</f>
        <v>-1.4398151195798096E-2</v>
      </c>
      <c r="N85" s="150"/>
      <c r="Q85" s="130">
        <f>(Q7-Q8)/Q120</f>
        <v>2.7283099794703714E-2</v>
      </c>
      <c r="R85" s="150"/>
      <c r="U85" s="130">
        <f>(U7-U8)/U120</f>
        <v>-7.8842942116939927E-4</v>
      </c>
      <c r="V85" s="130">
        <f>(V7-V8)/V120</f>
        <v>0</v>
      </c>
      <c r="W85" s="130">
        <f>(W7-W8)/W120</f>
        <v>-4.4516816813298813E-3</v>
      </c>
      <c r="X85" s="150"/>
      <c r="AA85" s="130">
        <f>(AA7-AA8)/AA120</f>
        <v>1.8952177139632282E-2</v>
      </c>
      <c r="AB85" s="150"/>
      <c r="AE85" s="130">
        <f>(AE7-AE8)/AE120</f>
        <v>0.2431363329902613</v>
      </c>
      <c r="AF85" s="150"/>
      <c r="AI85" s="130">
        <f>(AI7-AI8)/AI120</f>
        <v>8.3506402829086251E-2</v>
      </c>
      <c r="AJ85" s="150"/>
      <c r="AM85" s="130">
        <f>(AM7-AM8)/AM120</f>
        <v>1.1064669439022319E-2</v>
      </c>
      <c r="AN85" s="150"/>
      <c r="AQ85" s="130">
        <f>(AQ7-AQ8)/AQ120</f>
        <v>7.2603757562891419E-2</v>
      </c>
      <c r="AR85" s="150"/>
    </row>
    <row r="86" spans="1:118" ht="12.75" customHeight="1" x14ac:dyDescent="0.2">
      <c r="B86" s="157" t="s">
        <v>380</v>
      </c>
      <c r="C86" s="130">
        <f>C7/C121</f>
        <v>0</v>
      </c>
      <c r="D86" s="131"/>
      <c r="E86" s="130">
        <f>E7/E121</f>
        <v>0.12692198140811517</v>
      </c>
      <c r="F86" s="130">
        <f>F7/F121</f>
        <v>7.8798371625099436E-2</v>
      </c>
      <c r="G86" s="130">
        <f>G7/G121</f>
        <v>0</v>
      </c>
      <c r="H86" s="131"/>
      <c r="I86" s="130">
        <f>I7/I121</f>
        <v>5.9965350888281747E-3</v>
      </c>
      <c r="J86" s="130">
        <f>J7/J121</f>
        <v>1.8511579466508332E-4</v>
      </c>
      <c r="K86" s="130">
        <f>K7/K121</f>
        <v>0</v>
      </c>
      <c r="L86" s="131"/>
      <c r="M86" s="130">
        <f>M7/M121</f>
        <v>5.1436435469222413E-2</v>
      </c>
      <c r="N86" s="130" t="e">
        <f>N7/N121</f>
        <v>#DIV/0!</v>
      </c>
      <c r="O86" s="130">
        <f>O7/O121</f>
        <v>0</v>
      </c>
      <c r="P86" s="131"/>
      <c r="Q86" s="130">
        <f>Q7/Q121</f>
        <v>9.3254175029320929E-2</v>
      </c>
      <c r="R86" s="130">
        <f>R7/R121</f>
        <v>8.9609445144052613E-2</v>
      </c>
      <c r="S86" s="130">
        <f>S7/S121</f>
        <v>0</v>
      </c>
      <c r="T86" s="131"/>
      <c r="U86" s="130">
        <f>U7/U121</f>
        <v>8.8747233339613631E-3</v>
      </c>
      <c r="V86" s="130">
        <f>V7/V121</f>
        <v>0</v>
      </c>
      <c r="W86" s="130">
        <f>W7/W121</f>
        <v>7.1005691877177285E-2</v>
      </c>
      <c r="X86" s="130">
        <f>X7/X121</f>
        <v>6.5679100481884703E-2</v>
      </c>
      <c r="Y86" s="130">
        <f>Y7/Y121</f>
        <v>0</v>
      </c>
      <c r="Z86" s="131"/>
      <c r="AA86" s="130">
        <f>AA7/AA121</f>
        <v>7.7470312398821101E-2</v>
      </c>
      <c r="AB86" s="130">
        <f>AB7/AB121</f>
        <v>7.5010203902107192E-2</v>
      </c>
      <c r="AC86" s="130">
        <f>AC7/AC121</f>
        <v>0</v>
      </c>
      <c r="AD86" s="131"/>
      <c r="AE86" s="130">
        <f>AE7/AE121</f>
        <v>0.40296600866670534</v>
      </c>
      <c r="AF86" s="130">
        <f>AF7/AF121</f>
        <v>0.25469292143704203</v>
      </c>
      <c r="AG86" s="130">
        <f>AG7/AG121</f>
        <v>0</v>
      </c>
      <c r="AH86" s="131"/>
      <c r="AI86" s="130">
        <f>AI7/AI121</f>
        <v>0.15096305182608241</v>
      </c>
      <c r="AJ86" s="130" t="e">
        <f>AJ7/AJ121</f>
        <v>#DIV/0!</v>
      </c>
      <c r="AK86" s="130">
        <f>AK7/AK121</f>
        <v>0</v>
      </c>
      <c r="AL86" s="131"/>
      <c r="AM86" s="130">
        <f>AM7/AM121</f>
        <v>6.0378578770485178E-2</v>
      </c>
      <c r="AN86" s="130">
        <f>AN7/AN121</f>
        <v>6.7466063348416289E-2</v>
      </c>
      <c r="AO86" s="130">
        <f>AO7/AO121</f>
        <v>0</v>
      </c>
      <c r="AP86" s="131"/>
      <c r="AQ86" s="130">
        <f t="shared" ref="AQ86:DB86" si="2">AQ7/AQ121</f>
        <v>0.11623216553372676</v>
      </c>
      <c r="AR86" s="130" t="e">
        <f t="shared" si="2"/>
        <v>#DIV/0!</v>
      </c>
      <c r="AS86" s="130" t="e">
        <f t="shared" si="2"/>
        <v>#DIV/0!</v>
      </c>
      <c r="AT86" s="130" t="e">
        <f t="shared" si="2"/>
        <v>#DIV/0!</v>
      </c>
      <c r="AU86" s="130" t="e">
        <f t="shared" si="2"/>
        <v>#DIV/0!</v>
      </c>
      <c r="AV86" s="130" t="e">
        <f t="shared" si="2"/>
        <v>#DIV/0!</v>
      </c>
      <c r="AW86" s="130" t="e">
        <f t="shared" si="2"/>
        <v>#DIV/0!</v>
      </c>
      <c r="AX86" s="130" t="e">
        <f t="shared" si="2"/>
        <v>#DIV/0!</v>
      </c>
      <c r="AY86" s="130" t="e">
        <f t="shared" si="2"/>
        <v>#DIV/0!</v>
      </c>
      <c r="AZ86" s="130" t="e">
        <f t="shared" si="2"/>
        <v>#DIV/0!</v>
      </c>
      <c r="BA86" s="130" t="e">
        <f t="shared" si="2"/>
        <v>#DIV/0!</v>
      </c>
      <c r="BB86" s="130" t="e">
        <f t="shared" si="2"/>
        <v>#DIV/0!</v>
      </c>
      <c r="BC86" s="130" t="e">
        <f t="shared" si="2"/>
        <v>#DIV/0!</v>
      </c>
      <c r="BD86" s="130" t="e">
        <f t="shared" si="2"/>
        <v>#DIV/0!</v>
      </c>
      <c r="BE86" s="130" t="e">
        <f t="shared" si="2"/>
        <v>#DIV/0!</v>
      </c>
      <c r="BF86" s="130" t="e">
        <f t="shared" si="2"/>
        <v>#DIV/0!</v>
      </c>
      <c r="BG86" s="130" t="e">
        <f t="shared" si="2"/>
        <v>#DIV/0!</v>
      </c>
      <c r="BH86" s="130" t="e">
        <f t="shared" si="2"/>
        <v>#DIV/0!</v>
      </c>
      <c r="BI86" s="130" t="e">
        <f t="shared" si="2"/>
        <v>#DIV/0!</v>
      </c>
      <c r="BJ86" s="130" t="e">
        <f t="shared" si="2"/>
        <v>#DIV/0!</v>
      </c>
      <c r="BK86" s="130" t="e">
        <f t="shared" si="2"/>
        <v>#DIV/0!</v>
      </c>
      <c r="BL86" s="130" t="e">
        <f t="shared" si="2"/>
        <v>#DIV/0!</v>
      </c>
      <c r="BM86" s="130" t="e">
        <f t="shared" si="2"/>
        <v>#DIV/0!</v>
      </c>
      <c r="BN86" s="130" t="e">
        <f t="shared" si="2"/>
        <v>#DIV/0!</v>
      </c>
      <c r="BO86" s="130" t="e">
        <f t="shared" si="2"/>
        <v>#DIV/0!</v>
      </c>
      <c r="BP86" s="130" t="e">
        <f t="shared" si="2"/>
        <v>#DIV/0!</v>
      </c>
      <c r="BQ86" s="130" t="e">
        <f t="shared" si="2"/>
        <v>#DIV/0!</v>
      </c>
      <c r="BR86" s="130" t="e">
        <f t="shared" si="2"/>
        <v>#DIV/0!</v>
      </c>
      <c r="BS86" s="130" t="e">
        <f t="shared" si="2"/>
        <v>#DIV/0!</v>
      </c>
      <c r="BT86" s="130" t="e">
        <f t="shared" si="2"/>
        <v>#DIV/0!</v>
      </c>
      <c r="BU86" s="130" t="e">
        <f t="shared" si="2"/>
        <v>#DIV/0!</v>
      </c>
      <c r="BV86" s="130" t="e">
        <f t="shared" si="2"/>
        <v>#DIV/0!</v>
      </c>
      <c r="BW86" s="130" t="e">
        <f t="shared" si="2"/>
        <v>#DIV/0!</v>
      </c>
      <c r="BX86" s="130" t="e">
        <f t="shared" si="2"/>
        <v>#DIV/0!</v>
      </c>
      <c r="BY86" s="130" t="e">
        <f t="shared" si="2"/>
        <v>#DIV/0!</v>
      </c>
      <c r="BZ86" s="130" t="e">
        <f t="shared" si="2"/>
        <v>#DIV/0!</v>
      </c>
      <c r="CA86" s="130" t="e">
        <f t="shared" si="2"/>
        <v>#DIV/0!</v>
      </c>
      <c r="CB86" s="130" t="e">
        <f t="shared" si="2"/>
        <v>#DIV/0!</v>
      </c>
      <c r="CC86" s="130" t="e">
        <f t="shared" si="2"/>
        <v>#DIV/0!</v>
      </c>
      <c r="CD86" s="130" t="e">
        <f t="shared" si="2"/>
        <v>#DIV/0!</v>
      </c>
      <c r="CE86" s="130" t="e">
        <f t="shared" si="2"/>
        <v>#DIV/0!</v>
      </c>
      <c r="CF86" s="130" t="e">
        <f t="shared" si="2"/>
        <v>#DIV/0!</v>
      </c>
      <c r="CG86" s="130" t="e">
        <f t="shared" si="2"/>
        <v>#DIV/0!</v>
      </c>
      <c r="CH86" s="130" t="e">
        <f t="shared" si="2"/>
        <v>#DIV/0!</v>
      </c>
      <c r="CI86" s="130" t="e">
        <f t="shared" si="2"/>
        <v>#DIV/0!</v>
      </c>
      <c r="CJ86" s="130" t="e">
        <f t="shared" si="2"/>
        <v>#DIV/0!</v>
      </c>
      <c r="CK86" s="130" t="e">
        <f t="shared" si="2"/>
        <v>#DIV/0!</v>
      </c>
      <c r="CL86" s="130" t="e">
        <f t="shared" si="2"/>
        <v>#DIV/0!</v>
      </c>
      <c r="CM86" s="130" t="e">
        <f t="shared" si="2"/>
        <v>#DIV/0!</v>
      </c>
      <c r="CN86" s="130" t="e">
        <f t="shared" si="2"/>
        <v>#DIV/0!</v>
      </c>
      <c r="CO86" s="130" t="e">
        <f t="shared" si="2"/>
        <v>#DIV/0!</v>
      </c>
      <c r="CP86" s="130" t="e">
        <f t="shared" si="2"/>
        <v>#DIV/0!</v>
      </c>
      <c r="CQ86" s="130" t="e">
        <f t="shared" si="2"/>
        <v>#DIV/0!</v>
      </c>
      <c r="CR86" s="130" t="e">
        <f t="shared" si="2"/>
        <v>#DIV/0!</v>
      </c>
      <c r="CS86" s="130" t="e">
        <f t="shared" si="2"/>
        <v>#DIV/0!</v>
      </c>
      <c r="CT86" s="130" t="e">
        <f t="shared" si="2"/>
        <v>#DIV/0!</v>
      </c>
      <c r="CU86" s="130" t="e">
        <f t="shared" si="2"/>
        <v>#DIV/0!</v>
      </c>
      <c r="CV86" s="130" t="e">
        <f t="shared" si="2"/>
        <v>#DIV/0!</v>
      </c>
      <c r="CW86" s="130" t="e">
        <f t="shared" si="2"/>
        <v>#DIV/0!</v>
      </c>
      <c r="CX86" s="130" t="e">
        <f t="shared" si="2"/>
        <v>#DIV/0!</v>
      </c>
      <c r="CY86" s="130" t="e">
        <f t="shared" si="2"/>
        <v>#DIV/0!</v>
      </c>
      <c r="CZ86" s="130" t="e">
        <f t="shared" si="2"/>
        <v>#DIV/0!</v>
      </c>
      <c r="DA86" s="130" t="e">
        <f t="shared" si="2"/>
        <v>#DIV/0!</v>
      </c>
      <c r="DB86" s="130" t="e">
        <f t="shared" si="2"/>
        <v>#DIV/0!</v>
      </c>
      <c r="DC86" s="130" t="e">
        <f t="shared" ref="DC86:DN86" si="3">DC7/DC121</f>
        <v>#DIV/0!</v>
      </c>
      <c r="DD86" s="130" t="e">
        <f t="shared" si="3"/>
        <v>#DIV/0!</v>
      </c>
      <c r="DE86" s="130" t="e">
        <f t="shared" si="3"/>
        <v>#DIV/0!</v>
      </c>
      <c r="DF86" s="130" t="e">
        <f t="shared" si="3"/>
        <v>#DIV/0!</v>
      </c>
      <c r="DG86" s="130" t="e">
        <f t="shared" si="3"/>
        <v>#DIV/0!</v>
      </c>
      <c r="DH86" s="130" t="e">
        <f t="shared" si="3"/>
        <v>#DIV/0!</v>
      </c>
      <c r="DI86" s="130" t="e">
        <f t="shared" si="3"/>
        <v>#DIV/0!</v>
      </c>
      <c r="DJ86" s="130" t="e">
        <f t="shared" si="3"/>
        <v>#DIV/0!</v>
      </c>
      <c r="DK86" s="130" t="e">
        <f t="shared" si="3"/>
        <v>#DIV/0!</v>
      </c>
      <c r="DL86" s="130" t="e">
        <f t="shared" si="3"/>
        <v>#DIV/0!</v>
      </c>
      <c r="DM86" s="130" t="e">
        <f t="shared" si="3"/>
        <v>#DIV/0!</v>
      </c>
      <c r="DN86" s="130" t="e">
        <f t="shared" si="3"/>
        <v>#DIV/0!</v>
      </c>
    </row>
    <row r="87" spans="1:118" ht="12.75" customHeight="1" x14ac:dyDescent="0.2">
      <c r="B87" s="157" t="s">
        <v>274</v>
      </c>
      <c r="C87" s="130">
        <f>C8/C125</f>
        <v>0</v>
      </c>
      <c r="D87" s="131"/>
      <c r="E87" s="130">
        <f>E8/E125</f>
        <v>8.1115870203843657E-2</v>
      </c>
      <c r="F87" s="130">
        <f>F8/F125</f>
        <v>5.5297517675594779E-2</v>
      </c>
      <c r="G87" s="130">
        <f>G8/G125</f>
        <v>0</v>
      </c>
      <c r="H87" s="131"/>
      <c r="I87" s="130">
        <f>I8/I125</f>
        <v>5.2410822104570785E-2</v>
      </c>
      <c r="J87" s="130">
        <f>J8/J125</f>
        <v>0.20468550689736192</v>
      </c>
      <c r="K87" s="130">
        <f>K8/K125</f>
        <v>0</v>
      </c>
      <c r="L87" s="131"/>
      <c r="M87" s="130">
        <f>M8/M125</f>
        <v>4.7572344013490725E-2</v>
      </c>
      <c r="N87" s="130" t="e">
        <f>N8/N125</f>
        <v>#DIV/0!</v>
      </c>
      <c r="O87" s="130">
        <f>O8/O125</f>
        <v>0</v>
      </c>
      <c r="P87" s="131"/>
      <c r="Q87" s="130">
        <f>Q8/Q125</f>
        <v>5.7495865914913263E-2</v>
      </c>
      <c r="R87" s="130">
        <f>R8/R125</f>
        <v>5.6444529860252314E-2</v>
      </c>
      <c r="S87" s="130">
        <f>S8/S125</f>
        <v>0</v>
      </c>
      <c r="T87" s="131"/>
      <c r="U87" s="130">
        <f>U8/U125</f>
        <v>8.8638538494997827E-3</v>
      </c>
      <c r="V87" s="130">
        <f>V8/V125</f>
        <v>0</v>
      </c>
      <c r="W87" s="130">
        <f>W8/W125</f>
        <v>0.10281425891181989</v>
      </c>
      <c r="X87" s="130">
        <f>X8/X125</f>
        <v>5.8534058534058533E-2</v>
      </c>
      <c r="Y87" s="130">
        <f>Y8/Y125</f>
        <v>0</v>
      </c>
      <c r="Z87" s="131"/>
      <c r="AA87" s="130">
        <f>AA8/AA125</f>
        <v>5.3348307292080836E-2</v>
      </c>
      <c r="AB87" s="130">
        <f>AB8/AB125</f>
        <v>4.8106733563578218E-2</v>
      </c>
      <c r="AC87" s="130">
        <f>AC8/AC125</f>
        <v>0</v>
      </c>
      <c r="AD87" s="131"/>
      <c r="AE87" s="130">
        <f>AE8/AE125</f>
        <v>0.10786249700384917</v>
      </c>
      <c r="AF87" s="130">
        <f>AF8/AF125</f>
        <v>6.5056308771994004E-2</v>
      </c>
      <c r="AG87" s="130">
        <f>AG8/AG125</f>
        <v>0</v>
      </c>
      <c r="AH87" s="131"/>
      <c r="AI87" s="130">
        <f>AI8/AI125</f>
        <v>6.8995904510008393E-2</v>
      </c>
      <c r="AJ87" s="130" t="e">
        <f>AJ8/AJ125</f>
        <v>#DIV/0!</v>
      </c>
      <c r="AK87" s="130">
        <f>AK8/AK125</f>
        <v>0</v>
      </c>
      <c r="AL87" s="131"/>
      <c r="AM87" s="130">
        <f>AM8/AM125</f>
        <v>0.152413291292748</v>
      </c>
      <c r="AN87" s="130">
        <f>AN8/AN125</f>
        <v>0.13123503250085528</v>
      </c>
      <c r="AO87" s="130">
        <f>AO8/AO125</f>
        <v>0</v>
      </c>
      <c r="AP87" s="131"/>
      <c r="AQ87" s="130">
        <f t="shared" ref="AQ87:DB87" si="4">AQ8/AQ125</f>
        <v>4.86417033773862E-2</v>
      </c>
      <c r="AR87" s="130">
        <f t="shared" si="4"/>
        <v>4.8688160814515075E-2</v>
      </c>
      <c r="AS87" s="130" t="e">
        <f t="shared" si="4"/>
        <v>#DIV/0!</v>
      </c>
      <c r="AT87" s="130" t="e">
        <f t="shared" si="4"/>
        <v>#DIV/0!</v>
      </c>
      <c r="AU87" s="130" t="e">
        <f t="shared" si="4"/>
        <v>#DIV/0!</v>
      </c>
      <c r="AV87" s="130" t="e">
        <f t="shared" si="4"/>
        <v>#DIV/0!</v>
      </c>
      <c r="AW87" s="130" t="e">
        <f t="shared" si="4"/>
        <v>#DIV/0!</v>
      </c>
      <c r="AX87" s="130" t="e">
        <f t="shared" si="4"/>
        <v>#DIV/0!</v>
      </c>
      <c r="AY87" s="130" t="e">
        <f t="shared" si="4"/>
        <v>#DIV/0!</v>
      </c>
      <c r="AZ87" s="130" t="e">
        <f t="shared" si="4"/>
        <v>#DIV/0!</v>
      </c>
      <c r="BA87" s="130" t="e">
        <f t="shared" si="4"/>
        <v>#DIV/0!</v>
      </c>
      <c r="BB87" s="130" t="e">
        <f t="shared" si="4"/>
        <v>#DIV/0!</v>
      </c>
      <c r="BC87" s="130" t="e">
        <f t="shared" si="4"/>
        <v>#DIV/0!</v>
      </c>
      <c r="BD87" s="130" t="e">
        <f t="shared" si="4"/>
        <v>#DIV/0!</v>
      </c>
      <c r="BE87" s="130" t="e">
        <f t="shared" si="4"/>
        <v>#DIV/0!</v>
      </c>
      <c r="BF87" s="130" t="e">
        <f t="shared" si="4"/>
        <v>#DIV/0!</v>
      </c>
      <c r="BG87" s="130" t="e">
        <f t="shared" si="4"/>
        <v>#DIV/0!</v>
      </c>
      <c r="BH87" s="130" t="e">
        <f t="shared" si="4"/>
        <v>#DIV/0!</v>
      </c>
      <c r="BI87" s="130" t="e">
        <f t="shared" si="4"/>
        <v>#DIV/0!</v>
      </c>
      <c r="BJ87" s="130" t="e">
        <f t="shared" si="4"/>
        <v>#DIV/0!</v>
      </c>
      <c r="BK87" s="130" t="e">
        <f t="shared" si="4"/>
        <v>#DIV/0!</v>
      </c>
      <c r="BL87" s="130" t="e">
        <f t="shared" si="4"/>
        <v>#DIV/0!</v>
      </c>
      <c r="BM87" s="130" t="e">
        <f t="shared" si="4"/>
        <v>#DIV/0!</v>
      </c>
      <c r="BN87" s="130" t="e">
        <f t="shared" si="4"/>
        <v>#DIV/0!</v>
      </c>
      <c r="BO87" s="130" t="e">
        <f t="shared" si="4"/>
        <v>#DIV/0!</v>
      </c>
      <c r="BP87" s="130" t="e">
        <f t="shared" si="4"/>
        <v>#DIV/0!</v>
      </c>
      <c r="BQ87" s="130" t="e">
        <f t="shared" si="4"/>
        <v>#DIV/0!</v>
      </c>
      <c r="BR87" s="130" t="e">
        <f t="shared" si="4"/>
        <v>#DIV/0!</v>
      </c>
      <c r="BS87" s="130" t="e">
        <f t="shared" si="4"/>
        <v>#DIV/0!</v>
      </c>
      <c r="BT87" s="130" t="e">
        <f t="shared" si="4"/>
        <v>#DIV/0!</v>
      </c>
      <c r="BU87" s="130" t="e">
        <f t="shared" si="4"/>
        <v>#DIV/0!</v>
      </c>
      <c r="BV87" s="130" t="e">
        <f t="shared" si="4"/>
        <v>#DIV/0!</v>
      </c>
      <c r="BW87" s="130" t="e">
        <f t="shared" si="4"/>
        <v>#DIV/0!</v>
      </c>
      <c r="BX87" s="130" t="e">
        <f t="shared" si="4"/>
        <v>#DIV/0!</v>
      </c>
      <c r="BY87" s="130" t="e">
        <f t="shared" si="4"/>
        <v>#DIV/0!</v>
      </c>
      <c r="BZ87" s="130" t="e">
        <f t="shared" si="4"/>
        <v>#DIV/0!</v>
      </c>
      <c r="CA87" s="130" t="e">
        <f t="shared" si="4"/>
        <v>#DIV/0!</v>
      </c>
      <c r="CB87" s="130" t="e">
        <f t="shared" si="4"/>
        <v>#DIV/0!</v>
      </c>
      <c r="CC87" s="130" t="e">
        <f t="shared" si="4"/>
        <v>#DIV/0!</v>
      </c>
      <c r="CD87" s="130" t="e">
        <f t="shared" si="4"/>
        <v>#DIV/0!</v>
      </c>
      <c r="CE87" s="130" t="e">
        <f t="shared" si="4"/>
        <v>#DIV/0!</v>
      </c>
      <c r="CF87" s="130" t="e">
        <f t="shared" si="4"/>
        <v>#DIV/0!</v>
      </c>
      <c r="CG87" s="130" t="e">
        <f t="shared" si="4"/>
        <v>#DIV/0!</v>
      </c>
      <c r="CH87" s="130" t="e">
        <f t="shared" si="4"/>
        <v>#DIV/0!</v>
      </c>
      <c r="CI87" s="130" t="e">
        <f t="shared" si="4"/>
        <v>#DIV/0!</v>
      </c>
      <c r="CJ87" s="130" t="e">
        <f t="shared" si="4"/>
        <v>#DIV/0!</v>
      </c>
      <c r="CK87" s="130" t="e">
        <f t="shared" si="4"/>
        <v>#DIV/0!</v>
      </c>
      <c r="CL87" s="130" t="e">
        <f t="shared" si="4"/>
        <v>#DIV/0!</v>
      </c>
      <c r="CM87" s="130" t="e">
        <f t="shared" si="4"/>
        <v>#DIV/0!</v>
      </c>
      <c r="CN87" s="130" t="e">
        <f t="shared" si="4"/>
        <v>#DIV/0!</v>
      </c>
      <c r="CO87" s="130" t="e">
        <f t="shared" si="4"/>
        <v>#DIV/0!</v>
      </c>
      <c r="CP87" s="130" t="e">
        <f t="shared" si="4"/>
        <v>#DIV/0!</v>
      </c>
      <c r="CQ87" s="130" t="e">
        <f t="shared" si="4"/>
        <v>#DIV/0!</v>
      </c>
      <c r="CR87" s="130" t="e">
        <f t="shared" si="4"/>
        <v>#DIV/0!</v>
      </c>
      <c r="CS87" s="130" t="e">
        <f t="shared" si="4"/>
        <v>#DIV/0!</v>
      </c>
      <c r="CT87" s="130" t="e">
        <f t="shared" si="4"/>
        <v>#DIV/0!</v>
      </c>
      <c r="CU87" s="130" t="e">
        <f t="shared" si="4"/>
        <v>#DIV/0!</v>
      </c>
      <c r="CV87" s="130" t="e">
        <f t="shared" si="4"/>
        <v>#DIV/0!</v>
      </c>
      <c r="CW87" s="130" t="e">
        <f t="shared" si="4"/>
        <v>#DIV/0!</v>
      </c>
      <c r="CX87" s="130" t="e">
        <f t="shared" si="4"/>
        <v>#DIV/0!</v>
      </c>
      <c r="CY87" s="130" t="e">
        <f t="shared" si="4"/>
        <v>#DIV/0!</v>
      </c>
      <c r="CZ87" s="130" t="e">
        <f t="shared" si="4"/>
        <v>#DIV/0!</v>
      </c>
      <c r="DA87" s="130" t="e">
        <f t="shared" si="4"/>
        <v>#DIV/0!</v>
      </c>
      <c r="DB87" s="130" t="e">
        <f t="shared" si="4"/>
        <v>#DIV/0!</v>
      </c>
      <c r="DC87" s="130" t="e">
        <f t="shared" ref="DC87:DN87" si="5">DC8/DC125</f>
        <v>#DIV/0!</v>
      </c>
      <c r="DD87" s="130" t="e">
        <f t="shared" si="5"/>
        <v>#DIV/0!</v>
      </c>
      <c r="DE87" s="130" t="e">
        <f t="shared" si="5"/>
        <v>#DIV/0!</v>
      </c>
      <c r="DF87" s="130" t="e">
        <f t="shared" si="5"/>
        <v>#DIV/0!</v>
      </c>
      <c r="DG87" s="130" t="e">
        <f t="shared" si="5"/>
        <v>#DIV/0!</v>
      </c>
      <c r="DH87" s="130" t="e">
        <f t="shared" si="5"/>
        <v>#DIV/0!</v>
      </c>
      <c r="DI87" s="130" t="e">
        <f t="shared" si="5"/>
        <v>#DIV/0!</v>
      </c>
      <c r="DJ87" s="130" t="e">
        <f t="shared" si="5"/>
        <v>#DIV/0!</v>
      </c>
      <c r="DK87" s="130" t="e">
        <f t="shared" si="5"/>
        <v>#DIV/0!</v>
      </c>
      <c r="DL87" s="130" t="e">
        <f t="shared" si="5"/>
        <v>#DIV/0!</v>
      </c>
      <c r="DM87" s="130" t="e">
        <f t="shared" si="5"/>
        <v>#DIV/0!</v>
      </c>
      <c r="DN87" s="130" t="e">
        <f t="shared" si="5"/>
        <v>#DIV/0!</v>
      </c>
    </row>
    <row r="88" spans="1:118" ht="12.75" customHeight="1" x14ac:dyDescent="0.2">
      <c r="B88" s="157" t="s">
        <v>275</v>
      </c>
      <c r="C88" s="130" t="e">
        <f t="shared" ref="C88:BN88" si="6">C14/(C14+C9)</f>
        <v>#DIV/0!</v>
      </c>
      <c r="D88" s="131"/>
      <c r="E88" s="130">
        <f t="shared" si="6"/>
        <v>0.39925163704396632</v>
      </c>
      <c r="F88" s="130">
        <f t="shared" si="6"/>
        <v>0.83625480974775546</v>
      </c>
      <c r="G88" s="130" t="e">
        <f t="shared" si="6"/>
        <v>#DIV/0!</v>
      </c>
      <c r="H88" s="131"/>
      <c r="I88" s="130">
        <f t="shared" si="6"/>
        <v>1.2828293923478915</v>
      </c>
      <c r="J88" s="130">
        <f t="shared" si="6"/>
        <v>1.0719185189850806</v>
      </c>
      <c r="K88" s="130" t="e">
        <f t="shared" si="6"/>
        <v>#DIV/0!</v>
      </c>
      <c r="L88" s="131"/>
      <c r="M88" s="130">
        <f t="shared" si="6"/>
        <v>1.1370840613841831</v>
      </c>
      <c r="N88" s="130">
        <f t="shared" si="6"/>
        <v>0.99764014710620508</v>
      </c>
      <c r="O88" s="130" t="e">
        <f t="shared" si="6"/>
        <v>#DIV/0!</v>
      </c>
      <c r="P88" s="131"/>
      <c r="Q88" s="130">
        <f t="shared" si="6"/>
        <v>0.45737097234103224</v>
      </c>
      <c r="R88" s="130">
        <f t="shared" si="6"/>
        <v>0.46003960794844251</v>
      </c>
      <c r="S88" s="130" t="e">
        <f t="shared" si="6"/>
        <v>#DIV/0!</v>
      </c>
      <c r="T88" s="131"/>
      <c r="U88" s="130">
        <f t="shared" si="6"/>
        <v>0</v>
      </c>
      <c r="V88" s="130" t="e">
        <f t="shared" si="6"/>
        <v>#DIV/0!</v>
      </c>
      <c r="W88" s="130">
        <f t="shared" si="6"/>
        <v>1.0072040646090847</v>
      </c>
      <c r="X88" s="130">
        <f t="shared" si="6"/>
        <v>0.95684231222964999</v>
      </c>
      <c r="Y88" s="130" t="e">
        <f t="shared" si="6"/>
        <v>#DIV/0!</v>
      </c>
      <c r="Z88" s="131"/>
      <c r="AA88" s="130">
        <f t="shared" si="6"/>
        <v>0.43654502333958839</v>
      </c>
      <c r="AB88" s="130">
        <f t="shared" si="6"/>
        <v>0.45135493151508577</v>
      </c>
      <c r="AC88" s="130" t="e">
        <f t="shared" si="6"/>
        <v>#DIV/0!</v>
      </c>
      <c r="AD88" s="131"/>
      <c r="AE88" s="130">
        <f t="shared" si="6"/>
        <v>0.40809839651532803</v>
      </c>
      <c r="AF88" s="130">
        <f t="shared" si="6"/>
        <v>0.52122005981244401</v>
      </c>
      <c r="AG88" s="130" t="e">
        <f t="shared" si="6"/>
        <v>#DIV/0!</v>
      </c>
      <c r="AH88" s="131"/>
      <c r="AI88" s="130">
        <f t="shared" si="6"/>
        <v>0.13444650817474418</v>
      </c>
      <c r="AJ88" s="130" t="e">
        <f t="shared" si="6"/>
        <v>#DIV/0!</v>
      </c>
      <c r="AK88" s="130" t="e">
        <f t="shared" si="6"/>
        <v>#DIV/0!</v>
      </c>
      <c r="AL88" s="131"/>
      <c r="AM88" s="130">
        <f t="shared" si="6"/>
        <v>0.99402357336450475</v>
      </c>
      <c r="AN88" s="130">
        <f t="shared" si="6"/>
        <v>0.99344714605966544</v>
      </c>
      <c r="AO88" s="130" t="e">
        <f t="shared" si="6"/>
        <v>#DIV/0!</v>
      </c>
      <c r="AP88" s="131"/>
      <c r="AQ88" s="130">
        <f t="shared" si="6"/>
        <v>6.8119891008174394E-2</v>
      </c>
      <c r="AR88" s="130">
        <f t="shared" si="6"/>
        <v>6.8493150684931503E-2</v>
      </c>
      <c r="AS88" s="130" t="e">
        <f t="shared" si="6"/>
        <v>#DIV/0!</v>
      </c>
      <c r="AT88" s="130" t="e">
        <f t="shared" si="6"/>
        <v>#DIV/0!</v>
      </c>
      <c r="AU88" s="130" t="e">
        <f t="shared" si="6"/>
        <v>#DIV/0!</v>
      </c>
      <c r="AV88" s="130" t="e">
        <f t="shared" si="6"/>
        <v>#DIV/0!</v>
      </c>
      <c r="AW88" s="130" t="e">
        <f t="shared" si="6"/>
        <v>#DIV/0!</v>
      </c>
      <c r="AX88" s="130" t="e">
        <f t="shared" si="6"/>
        <v>#DIV/0!</v>
      </c>
      <c r="AY88" s="130" t="e">
        <f t="shared" si="6"/>
        <v>#DIV/0!</v>
      </c>
      <c r="AZ88" s="130" t="e">
        <f t="shared" si="6"/>
        <v>#DIV/0!</v>
      </c>
      <c r="BA88" s="130" t="e">
        <f t="shared" si="6"/>
        <v>#DIV/0!</v>
      </c>
      <c r="BB88" s="130" t="e">
        <f t="shared" si="6"/>
        <v>#DIV/0!</v>
      </c>
      <c r="BC88" s="130" t="e">
        <f t="shared" si="6"/>
        <v>#DIV/0!</v>
      </c>
      <c r="BD88" s="130" t="e">
        <f t="shared" si="6"/>
        <v>#DIV/0!</v>
      </c>
      <c r="BE88" s="130" t="e">
        <f t="shared" si="6"/>
        <v>#DIV/0!</v>
      </c>
      <c r="BF88" s="130" t="e">
        <f t="shared" si="6"/>
        <v>#DIV/0!</v>
      </c>
      <c r="BG88" s="130" t="e">
        <f t="shared" si="6"/>
        <v>#DIV/0!</v>
      </c>
      <c r="BH88" s="130" t="e">
        <f t="shared" si="6"/>
        <v>#DIV/0!</v>
      </c>
      <c r="BI88" s="130" t="e">
        <f t="shared" si="6"/>
        <v>#DIV/0!</v>
      </c>
      <c r="BJ88" s="130" t="e">
        <f t="shared" si="6"/>
        <v>#DIV/0!</v>
      </c>
      <c r="BK88" s="130" t="e">
        <f t="shared" si="6"/>
        <v>#DIV/0!</v>
      </c>
      <c r="BL88" s="130" t="e">
        <f t="shared" si="6"/>
        <v>#DIV/0!</v>
      </c>
      <c r="BM88" s="130" t="e">
        <f t="shared" si="6"/>
        <v>#DIV/0!</v>
      </c>
      <c r="BN88" s="130" t="e">
        <f t="shared" si="6"/>
        <v>#DIV/0!</v>
      </c>
      <c r="BO88" s="130" t="e">
        <f t="shared" ref="BO88:DK88" si="7">BO14/(BO14+BO9)</f>
        <v>#DIV/0!</v>
      </c>
      <c r="BP88" s="130" t="e">
        <f t="shared" si="7"/>
        <v>#DIV/0!</v>
      </c>
      <c r="BQ88" s="130" t="e">
        <f t="shared" si="7"/>
        <v>#DIV/0!</v>
      </c>
      <c r="BR88" s="130" t="e">
        <f t="shared" si="7"/>
        <v>#DIV/0!</v>
      </c>
      <c r="BS88" s="130" t="e">
        <f t="shared" si="7"/>
        <v>#DIV/0!</v>
      </c>
      <c r="BT88" s="130" t="e">
        <f t="shared" si="7"/>
        <v>#DIV/0!</v>
      </c>
      <c r="BU88" s="130" t="e">
        <f t="shared" si="7"/>
        <v>#DIV/0!</v>
      </c>
      <c r="BV88" s="130" t="e">
        <f t="shared" si="7"/>
        <v>#DIV/0!</v>
      </c>
      <c r="BW88" s="130" t="e">
        <f t="shared" si="7"/>
        <v>#DIV/0!</v>
      </c>
      <c r="BX88" s="130" t="e">
        <f t="shared" si="7"/>
        <v>#DIV/0!</v>
      </c>
      <c r="BY88" s="130" t="e">
        <f t="shared" si="7"/>
        <v>#DIV/0!</v>
      </c>
      <c r="BZ88" s="130" t="e">
        <f t="shared" si="7"/>
        <v>#DIV/0!</v>
      </c>
      <c r="CA88" s="130" t="e">
        <f t="shared" si="7"/>
        <v>#DIV/0!</v>
      </c>
      <c r="CB88" s="130" t="e">
        <f t="shared" si="7"/>
        <v>#DIV/0!</v>
      </c>
      <c r="CC88" s="130" t="e">
        <f t="shared" si="7"/>
        <v>#DIV/0!</v>
      </c>
      <c r="CD88" s="130" t="e">
        <f t="shared" si="7"/>
        <v>#DIV/0!</v>
      </c>
      <c r="CE88" s="130" t="e">
        <f t="shared" si="7"/>
        <v>#DIV/0!</v>
      </c>
      <c r="CF88" s="130" t="e">
        <f t="shared" si="7"/>
        <v>#DIV/0!</v>
      </c>
      <c r="CG88" s="130" t="e">
        <f t="shared" si="7"/>
        <v>#DIV/0!</v>
      </c>
      <c r="CH88" s="130" t="e">
        <f t="shared" si="7"/>
        <v>#DIV/0!</v>
      </c>
      <c r="CI88" s="130" t="e">
        <f t="shared" si="7"/>
        <v>#DIV/0!</v>
      </c>
      <c r="CJ88" s="130" t="e">
        <f t="shared" si="7"/>
        <v>#DIV/0!</v>
      </c>
      <c r="CK88" s="130" t="e">
        <f t="shared" si="7"/>
        <v>#DIV/0!</v>
      </c>
      <c r="CL88" s="130" t="e">
        <f t="shared" si="7"/>
        <v>#DIV/0!</v>
      </c>
      <c r="CM88" s="130" t="e">
        <f t="shared" si="7"/>
        <v>#DIV/0!</v>
      </c>
      <c r="CN88" s="130" t="e">
        <f t="shared" si="7"/>
        <v>#DIV/0!</v>
      </c>
      <c r="CO88" s="130" t="e">
        <f t="shared" si="7"/>
        <v>#DIV/0!</v>
      </c>
      <c r="CP88" s="130" t="e">
        <f t="shared" si="7"/>
        <v>#DIV/0!</v>
      </c>
      <c r="CQ88" s="130" t="e">
        <f t="shared" si="7"/>
        <v>#DIV/0!</v>
      </c>
      <c r="CR88" s="130" t="e">
        <f t="shared" si="7"/>
        <v>#DIV/0!</v>
      </c>
      <c r="CS88" s="130" t="e">
        <f t="shared" si="7"/>
        <v>#DIV/0!</v>
      </c>
      <c r="CT88" s="130" t="e">
        <f t="shared" si="7"/>
        <v>#DIV/0!</v>
      </c>
      <c r="CU88" s="130" t="e">
        <f t="shared" si="7"/>
        <v>#DIV/0!</v>
      </c>
      <c r="CV88" s="130" t="e">
        <f t="shared" si="7"/>
        <v>#DIV/0!</v>
      </c>
      <c r="CW88" s="130" t="e">
        <f t="shared" si="7"/>
        <v>#DIV/0!</v>
      </c>
      <c r="CX88" s="130" t="e">
        <f t="shared" si="7"/>
        <v>#DIV/0!</v>
      </c>
      <c r="CY88" s="130" t="e">
        <f t="shared" si="7"/>
        <v>#DIV/0!</v>
      </c>
      <c r="CZ88" s="130" t="e">
        <f t="shared" si="7"/>
        <v>#DIV/0!</v>
      </c>
      <c r="DA88" s="130" t="e">
        <f t="shared" si="7"/>
        <v>#DIV/0!</v>
      </c>
      <c r="DB88" s="130" t="e">
        <f t="shared" si="7"/>
        <v>#DIV/0!</v>
      </c>
      <c r="DC88" s="130" t="e">
        <f t="shared" si="7"/>
        <v>#DIV/0!</v>
      </c>
      <c r="DD88" s="130" t="e">
        <f t="shared" si="7"/>
        <v>#DIV/0!</v>
      </c>
      <c r="DE88" s="130" t="e">
        <f t="shared" si="7"/>
        <v>#DIV/0!</v>
      </c>
      <c r="DF88" s="130" t="e">
        <f t="shared" si="7"/>
        <v>#DIV/0!</v>
      </c>
      <c r="DG88" s="130" t="e">
        <f t="shared" si="7"/>
        <v>#DIV/0!</v>
      </c>
      <c r="DH88" s="130" t="e">
        <f t="shared" si="7"/>
        <v>#DIV/0!</v>
      </c>
      <c r="DI88" s="130" t="e">
        <f t="shared" si="7"/>
        <v>#DIV/0!</v>
      </c>
      <c r="DJ88" s="130" t="e">
        <f t="shared" si="7"/>
        <v>#DIV/0!</v>
      </c>
      <c r="DK88" s="130" t="e">
        <f t="shared" si="7"/>
        <v>#DIV/0!</v>
      </c>
      <c r="DL88" s="130" t="e">
        <f>DL14/(DL14+DL9)</f>
        <v>#DIV/0!</v>
      </c>
      <c r="DM88" s="130" t="e">
        <f>DM14/(DM14+DM9)</f>
        <v>#DIV/0!</v>
      </c>
      <c r="DN88" s="130" t="e">
        <f>DN14/(DN14+DN9)</f>
        <v>#DIV/0!</v>
      </c>
    </row>
    <row r="89" spans="1:118" ht="12.75" customHeight="1" x14ac:dyDescent="0.2">
      <c r="A89" s="159" t="s">
        <v>276</v>
      </c>
      <c r="B89" s="160"/>
      <c r="C89" s="91"/>
      <c r="D89" s="92"/>
      <c r="E89" s="85"/>
      <c r="F89" s="85"/>
      <c r="G89" s="91"/>
      <c r="H89" s="92"/>
      <c r="I89" s="85"/>
      <c r="J89" s="85"/>
      <c r="K89" s="91"/>
      <c r="L89" s="92"/>
      <c r="M89" s="85"/>
      <c r="N89" s="85"/>
      <c r="O89" s="91"/>
      <c r="P89" s="92"/>
      <c r="Q89" s="85"/>
      <c r="R89" s="85"/>
      <c r="S89" s="91"/>
      <c r="T89" s="92"/>
      <c r="U89" s="85"/>
      <c r="V89" s="85"/>
      <c r="W89" s="85"/>
      <c r="X89" s="85"/>
      <c r="Y89" s="91"/>
      <c r="Z89" s="92"/>
      <c r="AA89" s="85"/>
      <c r="AB89" s="85"/>
      <c r="AC89" s="91"/>
      <c r="AD89" s="92"/>
      <c r="AE89" s="85"/>
      <c r="AF89" s="85"/>
      <c r="AG89" s="91"/>
      <c r="AH89" s="92"/>
      <c r="AI89" s="85"/>
      <c r="AJ89" s="85"/>
      <c r="AK89" s="91"/>
      <c r="AL89" s="92"/>
      <c r="AM89" s="85"/>
      <c r="AN89" s="85"/>
      <c r="AO89" s="91"/>
      <c r="AP89" s="92"/>
      <c r="AQ89" s="85"/>
      <c r="AR89" s="85"/>
      <c r="AS89" s="85"/>
    </row>
    <row r="90" spans="1:118" ht="12.75" customHeight="1" x14ac:dyDescent="0.2">
      <c r="A90" s="161"/>
      <c r="B90" s="157" t="s">
        <v>277</v>
      </c>
      <c r="C90" s="130" t="e">
        <f t="shared" ref="C90:AQ90" si="8">C18/(C9+C12+C13)</f>
        <v>#DIV/0!</v>
      </c>
      <c r="D90" s="131"/>
      <c r="E90" s="130">
        <f t="shared" si="8"/>
        <v>0.59045837231057063</v>
      </c>
      <c r="F90" s="130">
        <f t="shared" si="8"/>
        <v>0.42026507054296708</v>
      </c>
      <c r="G90" s="130" t="e">
        <f t="shared" si="8"/>
        <v>#DIV/0!</v>
      </c>
      <c r="H90" s="131"/>
      <c r="I90" s="130">
        <f t="shared" si="8"/>
        <v>1.1314748861082826</v>
      </c>
      <c r="J90" s="130">
        <f t="shared" si="8"/>
        <v>1.2708103804863542</v>
      </c>
      <c r="K90" s="130" t="e">
        <f t="shared" si="8"/>
        <v>#DIV/0!</v>
      </c>
      <c r="L90" s="131"/>
      <c r="M90" s="130">
        <f t="shared" si="8"/>
        <v>0.57591829370204373</v>
      </c>
      <c r="N90" s="130">
        <f t="shared" si="8"/>
        <v>0.87808878039435379</v>
      </c>
      <c r="O90" s="130" t="e">
        <f t="shared" si="8"/>
        <v>#DIV/0!</v>
      </c>
      <c r="P90" s="131"/>
      <c r="Q90" s="130">
        <f t="shared" si="8"/>
        <v>0.37633463232265629</v>
      </c>
      <c r="R90" s="130">
        <f t="shared" si="8"/>
        <v>0.37662795381310421</v>
      </c>
      <c r="S90" s="130" t="e">
        <f t="shared" si="8"/>
        <v>#DIV/0!</v>
      </c>
      <c r="T90" s="131"/>
      <c r="U90" s="130">
        <f t="shared" si="8"/>
        <v>-105.47478260869558</v>
      </c>
      <c r="V90" s="130" t="e">
        <f t="shared" si="8"/>
        <v>#DIV/0!</v>
      </c>
      <c r="W90" s="130">
        <f t="shared" si="8"/>
        <v>0.87123682414499126</v>
      </c>
      <c r="X90" s="130">
        <f t="shared" si="8"/>
        <v>0.74041486433346437</v>
      </c>
      <c r="Y90" s="130" t="e">
        <f t="shared" si="8"/>
        <v>#DIV/0!</v>
      </c>
      <c r="Z90" s="131"/>
      <c r="AA90" s="130">
        <f t="shared" si="8"/>
        <v>0.55798909982024392</v>
      </c>
      <c r="AB90" s="130">
        <f t="shared" si="8"/>
        <v>0.15913095005352712</v>
      </c>
      <c r="AC90" s="130" t="e">
        <f t="shared" si="8"/>
        <v>#DIV/0!</v>
      </c>
      <c r="AD90" s="131"/>
      <c r="AE90" s="130">
        <f t="shared" si="8"/>
        <v>0.71595284887341915</v>
      </c>
      <c r="AF90" s="130">
        <f t="shared" si="8"/>
        <v>0.77181019398049355</v>
      </c>
      <c r="AG90" s="130" t="e">
        <f t="shared" si="8"/>
        <v>#DIV/0!</v>
      </c>
      <c r="AH90" s="131"/>
      <c r="AI90" s="130">
        <f t="shared" si="8"/>
        <v>0.43103895962347655</v>
      </c>
      <c r="AJ90" s="130" t="e">
        <f t="shared" si="8"/>
        <v>#DIV/0!</v>
      </c>
      <c r="AK90" s="130" t="e">
        <f t="shared" si="8"/>
        <v>#DIV/0!</v>
      </c>
      <c r="AL90" s="131"/>
      <c r="AM90" s="130">
        <f t="shared" si="8"/>
        <v>0.89357227182596533</v>
      </c>
      <c r="AN90" s="130">
        <f t="shared" si="8"/>
        <v>0.94515721720920209</v>
      </c>
      <c r="AO90" s="130" t="e">
        <f t="shared" si="8"/>
        <v>#DIV/0!</v>
      </c>
      <c r="AP90" s="131"/>
      <c r="AQ90" s="130">
        <f t="shared" si="8"/>
        <v>0.88828337874659402</v>
      </c>
      <c r="AR90" s="177"/>
    </row>
    <row r="91" spans="1:118" ht="12.75" customHeight="1" x14ac:dyDescent="0.2">
      <c r="A91" s="161"/>
      <c r="B91" s="155" t="s">
        <v>278</v>
      </c>
      <c r="C91" s="130" t="e">
        <f>C18/(C9+C12+C13-C115)</f>
        <v>#DIV/0!</v>
      </c>
      <c r="D91" s="131"/>
      <c r="E91" s="130">
        <f>E18/(E9+E12+E13-E115)</f>
        <v>0.64395021424199139</v>
      </c>
      <c r="F91" s="130">
        <f>F18/(F9+F12+F13-F115)</f>
        <v>0.42026507054296708</v>
      </c>
      <c r="G91" s="130" t="e">
        <f>G18/(G9+G12+G13-G115)</f>
        <v>#DIV/0!</v>
      </c>
      <c r="H91" s="131"/>
      <c r="I91" s="130">
        <f>I18/(I9+I12+I13-I115)</f>
        <v>1.1314748861082826</v>
      </c>
      <c r="J91" s="130">
        <f>J18/(J9+J12+J13-J115)</f>
        <v>1.2708103804863542</v>
      </c>
      <c r="K91" s="130" t="e">
        <f>K18/(K9+K12+K13-K115)</f>
        <v>#DIV/0!</v>
      </c>
      <c r="L91" s="131"/>
      <c r="M91" s="130">
        <f>M18/(M9+M12+M13-M115)</f>
        <v>0.57591829370204373</v>
      </c>
      <c r="N91" s="130">
        <f>N18/(N9+N12+N13-N115)</f>
        <v>0.87808878039435379</v>
      </c>
      <c r="O91" s="130" t="e">
        <f>O18/(O9+O12+O13-O115)</f>
        <v>#DIV/0!</v>
      </c>
      <c r="P91" s="131"/>
      <c r="Q91" s="130">
        <f>Q18/(Q9+Q12+Q13-Q115)</f>
        <v>0.41723453581088199</v>
      </c>
      <c r="R91" s="130">
        <f>R18/(R9+R12+R13-R115)</f>
        <v>0.37662795381310421</v>
      </c>
      <c r="S91" s="130" t="e">
        <f>S18/(S9+S12+S13-S115)</f>
        <v>#DIV/0!</v>
      </c>
      <c r="T91" s="131"/>
      <c r="U91" s="130">
        <f>U18/(U9+U12+U13-U115)</f>
        <v>-105.47478260869558</v>
      </c>
      <c r="V91" s="130" t="e">
        <f>V18/(V9+V12+V13-V115)</f>
        <v>#DIV/0!</v>
      </c>
      <c r="W91" s="130">
        <f>W18/(W9+W12+W13-W115)</f>
        <v>0.87123682414499126</v>
      </c>
      <c r="X91" s="130">
        <f>X18/(X9+X12+X13-X115)</f>
        <v>0.74041486433346437</v>
      </c>
      <c r="Y91" s="130" t="e">
        <f>Y18/(Y9+Y12+Y13-Y115)</f>
        <v>#DIV/0!</v>
      </c>
      <c r="Z91" s="131"/>
      <c r="AA91" s="130">
        <f>AA18/(AA9+AA12+AA13-AA115)</f>
        <v>0.55798909982024392</v>
      </c>
      <c r="AB91" s="130">
        <f>AB18/(AB9+AB12+AB13-AB115)</f>
        <v>0.15913095005352712</v>
      </c>
      <c r="AC91" s="130" t="e">
        <f>AC18/(AC9+AC12+AC13-AC115)</f>
        <v>#DIV/0!</v>
      </c>
      <c r="AD91" s="131"/>
      <c r="AE91" s="130">
        <f>AE18/(AE9+AE12+AE13-AE115)</f>
        <v>0.83098728871957106</v>
      </c>
      <c r="AF91" s="130">
        <f>AF18/(AF9+AF12+AF13-AF115)</f>
        <v>0.77181019398049355</v>
      </c>
      <c r="AG91" s="130" t="e">
        <f>AG18/(AG9+AG12+AG13-AG115)</f>
        <v>#DIV/0!</v>
      </c>
      <c r="AH91" s="131"/>
      <c r="AI91" s="130">
        <f>AI18/(AI9+AI12+AI13-AI115)</f>
        <v>0.54074596577980727</v>
      </c>
      <c r="AJ91" s="130" t="e">
        <f>AJ18/(AJ9+AJ12+AJ13-AJ115)</f>
        <v>#DIV/0!</v>
      </c>
      <c r="AK91" s="130" t="e">
        <f>AK18/(AK9+AK12+AK13-AK115)</f>
        <v>#DIV/0!</v>
      </c>
      <c r="AL91" s="131"/>
      <c r="AM91" s="130">
        <f>AM18/(AM9+AM12+AM13-AM115)</f>
        <v>0.89595472045049707</v>
      </c>
      <c r="AN91" s="130">
        <f>AN18/(AN9+AN12+AN13-AN115)</f>
        <v>0.94515721720920209</v>
      </c>
      <c r="AO91" s="130" t="e">
        <f>AO18/(AO9+AO12+AO13-AO115)</f>
        <v>#DIV/0!</v>
      </c>
      <c r="AP91" s="131"/>
      <c r="AQ91" s="130">
        <f>AQ18/(AQ9+AQ12+AQ13-AQ115)</f>
        <v>0.94492753623188408</v>
      </c>
      <c r="AR91" s="130">
        <f>AR18/(AR9+AR12+AR13-AR115)</f>
        <v>0.42341220423412207</v>
      </c>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row>
    <row r="92" spans="1:118" ht="12.75" customHeight="1" x14ac:dyDescent="0.2">
      <c r="A92" s="162"/>
      <c r="B92" s="163"/>
      <c r="C92" s="91"/>
      <c r="D92" s="92"/>
      <c r="E92" s="85"/>
      <c r="F92" s="85"/>
      <c r="G92" s="91"/>
      <c r="H92" s="92"/>
      <c r="I92" s="85"/>
      <c r="J92" s="85"/>
      <c r="K92" s="91"/>
      <c r="L92" s="92"/>
      <c r="M92" s="85"/>
      <c r="N92" s="85"/>
      <c r="O92" s="91"/>
      <c r="P92" s="92"/>
      <c r="Q92" s="85"/>
      <c r="R92" s="85"/>
      <c r="S92" s="91"/>
      <c r="T92" s="92"/>
      <c r="U92" s="85"/>
      <c r="V92" s="85"/>
      <c r="W92" s="85"/>
      <c r="X92" s="85"/>
      <c r="Y92" s="91"/>
      <c r="Z92" s="92"/>
      <c r="AA92" s="85"/>
      <c r="AB92" s="85"/>
      <c r="AC92" s="91"/>
      <c r="AD92" s="92"/>
      <c r="AE92" s="85"/>
      <c r="AF92" s="85"/>
      <c r="AG92" s="91"/>
      <c r="AH92" s="92"/>
      <c r="AI92" s="85"/>
      <c r="AJ92" s="85"/>
      <c r="AK92" s="91"/>
      <c r="AL92" s="92"/>
      <c r="AM92" s="85"/>
      <c r="AN92" s="85"/>
      <c r="AO92" s="91"/>
      <c r="AP92" s="92"/>
      <c r="AQ92" s="85"/>
      <c r="AR92" s="85"/>
      <c r="AS92" s="85"/>
    </row>
    <row r="93" spans="1:118" ht="12.75" customHeight="1" x14ac:dyDescent="0.2">
      <c r="A93" s="148" t="s">
        <v>133</v>
      </c>
      <c r="B93" s="148"/>
      <c r="C93" s="91"/>
      <c r="D93" s="92"/>
      <c r="E93" s="85"/>
      <c r="F93" s="85"/>
      <c r="G93" s="91"/>
      <c r="H93" s="92"/>
      <c r="I93" s="85"/>
      <c r="J93" s="85"/>
      <c r="K93" s="91"/>
      <c r="L93" s="92"/>
      <c r="M93" s="85"/>
      <c r="N93" s="85"/>
      <c r="O93" s="91"/>
      <c r="P93" s="92"/>
      <c r="Q93" s="85"/>
      <c r="R93" s="85"/>
      <c r="S93" s="91"/>
      <c r="T93" s="92"/>
      <c r="U93" s="85"/>
      <c r="V93" s="85"/>
      <c r="W93" s="85"/>
      <c r="X93" s="85"/>
      <c r="Y93" s="91"/>
      <c r="Z93" s="92"/>
      <c r="AA93" s="85"/>
      <c r="AB93" s="85"/>
      <c r="AC93" s="91"/>
      <c r="AD93" s="92"/>
      <c r="AE93" s="85"/>
      <c r="AF93" s="85"/>
      <c r="AG93" s="91"/>
      <c r="AH93" s="92"/>
      <c r="AI93" s="85"/>
      <c r="AJ93" s="85"/>
      <c r="AK93" s="91"/>
      <c r="AL93" s="92"/>
      <c r="AM93" s="85"/>
      <c r="AN93" s="85"/>
      <c r="AO93" s="91"/>
      <c r="AP93" s="92"/>
      <c r="AQ93" s="85"/>
      <c r="AR93" s="85"/>
      <c r="AS93" s="85"/>
    </row>
    <row r="94" spans="1:118" ht="12.75" customHeight="1" x14ac:dyDescent="0.2">
      <c r="A94" s="162"/>
      <c r="B94" s="160" t="s">
        <v>5</v>
      </c>
      <c r="C94" s="90">
        <f t="shared" ref="C94:BN94" si="9">C37</f>
        <v>0</v>
      </c>
      <c r="D94" s="88"/>
      <c r="E94" s="90">
        <f t="shared" si="9"/>
        <v>173062</v>
      </c>
      <c r="F94" s="90">
        <f t="shared" si="9"/>
        <v>104561</v>
      </c>
      <c r="G94" s="90">
        <f t="shared" si="9"/>
        <v>0</v>
      </c>
      <c r="H94" s="88"/>
      <c r="I94" s="90">
        <f t="shared" si="9"/>
        <v>18739.806</v>
      </c>
      <c r="J94" s="90">
        <f t="shared" si="9"/>
        <v>8937.8230000000003</v>
      </c>
      <c r="K94" s="90">
        <f t="shared" si="9"/>
        <v>0</v>
      </c>
      <c r="L94" s="88"/>
      <c r="M94" s="90">
        <f t="shared" si="9"/>
        <v>3582.2660000000001</v>
      </c>
      <c r="N94" s="90">
        <f t="shared" si="9"/>
        <v>428.11</v>
      </c>
      <c r="O94" s="90">
        <f t="shared" si="9"/>
        <v>0</v>
      </c>
      <c r="P94" s="88"/>
      <c r="Q94" s="90">
        <f t="shared" si="9"/>
        <v>2528410</v>
      </c>
      <c r="R94" s="90">
        <f t="shared" si="9"/>
        <v>2493600</v>
      </c>
      <c r="S94" s="90">
        <f t="shared" si="9"/>
        <v>0</v>
      </c>
      <c r="T94" s="88"/>
      <c r="U94" s="90">
        <f t="shared" si="9"/>
        <v>2187.8939999999998</v>
      </c>
      <c r="V94" s="90">
        <f t="shared" si="9"/>
        <v>0</v>
      </c>
      <c r="W94" s="90">
        <f t="shared" si="9"/>
        <v>58925</v>
      </c>
      <c r="X94" s="90">
        <f t="shared" si="9"/>
        <v>26436</v>
      </c>
      <c r="Y94" s="90">
        <f t="shared" si="9"/>
        <v>0</v>
      </c>
      <c r="Z94" s="88"/>
      <c r="AA94" s="90">
        <f t="shared" si="9"/>
        <v>88960.47</v>
      </c>
      <c r="AB94" s="90">
        <f t="shared" si="9"/>
        <v>76763.076000000001</v>
      </c>
      <c r="AC94" s="90">
        <f t="shared" si="9"/>
        <v>0</v>
      </c>
      <c r="AD94" s="88"/>
      <c r="AE94" s="90">
        <f t="shared" si="9"/>
        <v>47424.517999999996</v>
      </c>
      <c r="AF94" s="90">
        <f t="shared" si="9"/>
        <v>39053.927000000003</v>
      </c>
      <c r="AG94" s="90">
        <f t="shared" si="9"/>
        <v>0</v>
      </c>
      <c r="AH94" s="88"/>
      <c r="AI94" s="90">
        <f t="shared" si="9"/>
        <v>16166.915999999999</v>
      </c>
      <c r="AJ94" s="90">
        <f t="shared" si="9"/>
        <v>0</v>
      </c>
      <c r="AK94" s="90">
        <f t="shared" si="9"/>
        <v>0</v>
      </c>
      <c r="AL94" s="88"/>
      <c r="AM94" s="90">
        <f t="shared" si="9"/>
        <v>84938</v>
      </c>
      <c r="AN94" s="90">
        <f t="shared" si="9"/>
        <v>103590</v>
      </c>
      <c r="AO94" s="90">
        <f t="shared" si="9"/>
        <v>0</v>
      </c>
      <c r="AP94" s="88"/>
      <c r="AQ94" s="90">
        <f t="shared" si="9"/>
        <v>17392</v>
      </c>
      <c r="AR94" s="90">
        <f t="shared" si="9"/>
        <v>10871</v>
      </c>
      <c r="AS94" s="90">
        <f t="shared" si="9"/>
        <v>0</v>
      </c>
      <c r="AT94" s="90">
        <f t="shared" si="9"/>
        <v>0</v>
      </c>
      <c r="AU94" s="90">
        <f t="shared" si="9"/>
        <v>0</v>
      </c>
      <c r="AV94" s="90">
        <f t="shared" si="9"/>
        <v>0</v>
      </c>
      <c r="AW94" s="90">
        <f t="shared" si="9"/>
        <v>0</v>
      </c>
      <c r="AX94" s="90">
        <f t="shared" si="9"/>
        <v>0</v>
      </c>
      <c r="AY94" s="90">
        <f t="shared" si="9"/>
        <v>0</v>
      </c>
      <c r="AZ94" s="90">
        <f t="shared" si="9"/>
        <v>0</v>
      </c>
      <c r="BA94" s="90">
        <f t="shared" si="9"/>
        <v>0</v>
      </c>
      <c r="BB94" s="90">
        <f t="shared" si="9"/>
        <v>0</v>
      </c>
      <c r="BC94" s="90">
        <f t="shared" si="9"/>
        <v>0</v>
      </c>
      <c r="BD94" s="90">
        <f t="shared" si="9"/>
        <v>0</v>
      </c>
      <c r="BE94" s="90">
        <f t="shared" si="9"/>
        <v>0</v>
      </c>
      <c r="BF94" s="90">
        <f t="shared" si="9"/>
        <v>0</v>
      </c>
      <c r="BG94" s="90">
        <f t="shared" si="9"/>
        <v>0</v>
      </c>
      <c r="BH94" s="90">
        <f t="shared" si="9"/>
        <v>0</v>
      </c>
      <c r="BI94" s="90">
        <f t="shared" si="9"/>
        <v>0</v>
      </c>
      <c r="BJ94" s="90">
        <f t="shared" si="9"/>
        <v>0</v>
      </c>
      <c r="BK94" s="90">
        <f t="shared" si="9"/>
        <v>0</v>
      </c>
      <c r="BL94" s="90">
        <f t="shared" si="9"/>
        <v>0</v>
      </c>
      <c r="BM94" s="90">
        <f t="shared" si="9"/>
        <v>0</v>
      </c>
      <c r="BN94" s="90">
        <f t="shared" si="9"/>
        <v>0</v>
      </c>
      <c r="BO94" s="90">
        <f t="shared" ref="BO94:DK94" si="10">BO37</f>
        <v>0</v>
      </c>
      <c r="BP94" s="90">
        <f t="shared" si="10"/>
        <v>0</v>
      </c>
      <c r="BQ94" s="90">
        <f t="shared" si="10"/>
        <v>0</v>
      </c>
      <c r="BR94" s="90">
        <f t="shared" si="10"/>
        <v>0</v>
      </c>
      <c r="BS94" s="90">
        <f t="shared" si="10"/>
        <v>0</v>
      </c>
      <c r="BT94" s="90">
        <f t="shared" si="10"/>
        <v>0</v>
      </c>
      <c r="BU94" s="90">
        <f t="shared" si="10"/>
        <v>0</v>
      </c>
      <c r="BV94" s="90">
        <f t="shared" si="10"/>
        <v>0</v>
      </c>
      <c r="BW94" s="90">
        <f t="shared" si="10"/>
        <v>0</v>
      </c>
      <c r="BX94" s="90">
        <f t="shared" si="10"/>
        <v>0</v>
      </c>
      <c r="BY94" s="90">
        <f t="shared" si="10"/>
        <v>0</v>
      </c>
      <c r="BZ94" s="90">
        <f t="shared" si="10"/>
        <v>0</v>
      </c>
      <c r="CA94" s="90">
        <f t="shared" si="10"/>
        <v>0</v>
      </c>
      <c r="CB94" s="90">
        <f t="shared" si="10"/>
        <v>0</v>
      </c>
      <c r="CC94" s="90">
        <f t="shared" si="10"/>
        <v>0</v>
      </c>
      <c r="CD94" s="90">
        <f t="shared" si="10"/>
        <v>0</v>
      </c>
      <c r="CE94" s="90">
        <f t="shared" si="10"/>
        <v>0</v>
      </c>
      <c r="CF94" s="90">
        <f t="shared" si="10"/>
        <v>0</v>
      </c>
      <c r="CG94" s="90">
        <f t="shared" si="10"/>
        <v>0</v>
      </c>
      <c r="CH94" s="90">
        <f t="shared" si="10"/>
        <v>0</v>
      </c>
      <c r="CI94" s="90">
        <f t="shared" si="10"/>
        <v>0</v>
      </c>
      <c r="CJ94" s="90">
        <f t="shared" si="10"/>
        <v>0</v>
      </c>
      <c r="CK94" s="90">
        <f t="shared" si="10"/>
        <v>0</v>
      </c>
      <c r="CL94" s="90">
        <f t="shared" si="10"/>
        <v>0</v>
      </c>
      <c r="CM94" s="90">
        <f t="shared" si="10"/>
        <v>0</v>
      </c>
      <c r="CN94" s="90">
        <f t="shared" si="10"/>
        <v>0</v>
      </c>
      <c r="CO94" s="90">
        <f t="shared" si="10"/>
        <v>0</v>
      </c>
      <c r="CP94" s="90">
        <f t="shared" si="10"/>
        <v>0</v>
      </c>
      <c r="CQ94" s="90">
        <f t="shared" si="10"/>
        <v>0</v>
      </c>
      <c r="CR94" s="90">
        <f t="shared" si="10"/>
        <v>0</v>
      </c>
      <c r="CS94" s="90">
        <f t="shared" si="10"/>
        <v>0</v>
      </c>
      <c r="CT94" s="90">
        <f t="shared" si="10"/>
        <v>0</v>
      </c>
      <c r="CU94" s="90">
        <f t="shared" si="10"/>
        <v>0</v>
      </c>
      <c r="CV94" s="90">
        <f t="shared" si="10"/>
        <v>0</v>
      </c>
      <c r="CW94" s="90">
        <f t="shared" si="10"/>
        <v>0</v>
      </c>
      <c r="CX94" s="90">
        <f t="shared" si="10"/>
        <v>0</v>
      </c>
      <c r="CY94" s="90">
        <f t="shared" si="10"/>
        <v>0</v>
      </c>
      <c r="CZ94" s="90">
        <f t="shared" si="10"/>
        <v>0</v>
      </c>
      <c r="DA94" s="90">
        <f t="shared" si="10"/>
        <v>0</v>
      </c>
      <c r="DB94" s="90">
        <f t="shared" si="10"/>
        <v>0</v>
      </c>
      <c r="DC94" s="90">
        <f t="shared" si="10"/>
        <v>0</v>
      </c>
      <c r="DD94" s="90">
        <f t="shared" si="10"/>
        <v>0</v>
      </c>
      <c r="DE94" s="90">
        <f t="shared" si="10"/>
        <v>0</v>
      </c>
      <c r="DF94" s="90">
        <f t="shared" si="10"/>
        <v>0</v>
      </c>
      <c r="DG94" s="90">
        <f t="shared" si="10"/>
        <v>0</v>
      </c>
      <c r="DH94" s="90">
        <f t="shared" si="10"/>
        <v>0</v>
      </c>
      <c r="DI94" s="90">
        <f t="shared" si="10"/>
        <v>0</v>
      </c>
      <c r="DJ94" s="90">
        <f t="shared" si="10"/>
        <v>0</v>
      </c>
      <c r="DK94" s="90">
        <f t="shared" si="10"/>
        <v>0</v>
      </c>
      <c r="DL94" s="90">
        <f>DL37</f>
        <v>0</v>
      </c>
      <c r="DM94" s="90">
        <f>DM37</f>
        <v>0</v>
      </c>
      <c r="DN94" s="90">
        <f>DN37</f>
        <v>0</v>
      </c>
    </row>
    <row r="95" spans="1:118" ht="12.75" customHeight="1" x14ac:dyDescent="0.2">
      <c r="B95" s="157" t="s">
        <v>9</v>
      </c>
      <c r="E95" s="130">
        <f>(E28-F28)/E28/E142</f>
        <v>0.50293064148485833</v>
      </c>
      <c r="F95" s="111"/>
      <c r="I95" s="130">
        <f>(I28-J28)/I28/I142</f>
        <v>-0.20165830856251302</v>
      </c>
      <c r="J95" s="111"/>
      <c r="M95" s="130">
        <f>(M28-N28)/M28/M142</f>
        <v>1</v>
      </c>
      <c r="N95" s="111"/>
      <c r="Q95" s="130">
        <f>(Q28-R28)/Q28/Q142</f>
        <v>2.3746219788356227E-3</v>
      </c>
      <c r="R95" s="111"/>
      <c r="U95" s="130">
        <f>(U28-V28)/U28/U142</f>
        <v>5.8823529411764701</v>
      </c>
      <c r="V95" s="130" t="e">
        <f>(V28-W28)/V28/V142</f>
        <v>#DIV/0!</v>
      </c>
      <c r="W95" s="130">
        <f>(W28-X28)/W28/W142</f>
        <v>0.42355971110240187</v>
      </c>
      <c r="X95" s="111"/>
      <c r="AA95" s="130">
        <f>(AA28-AB28)/AA28/AA142</f>
        <v>0.20431326564610658</v>
      </c>
      <c r="AB95" s="111"/>
      <c r="AE95" s="130">
        <f>(AE28-AF28)/AE28/AE142</f>
        <v>0.1830933969062975</v>
      </c>
      <c r="AF95" s="111"/>
      <c r="AI95" s="130">
        <f>(AI28-AJ28)/AI28/AI142</f>
        <v>1</v>
      </c>
      <c r="AJ95" s="111"/>
      <c r="AM95" s="130">
        <f>(AM28-AN28)/AM28/AM142</f>
        <v>-4.2772548186944113E-2</v>
      </c>
      <c r="AN95" s="111"/>
      <c r="AQ95" s="130">
        <f>(AQ28-AR28)/AQ28/AQ142</f>
        <v>0.45745232471049146</v>
      </c>
      <c r="AR95" s="111"/>
    </row>
    <row r="96" spans="1:118" ht="12.75" customHeight="1" x14ac:dyDescent="0.2">
      <c r="B96" s="149" t="s">
        <v>279</v>
      </c>
      <c r="C96" s="130" t="e">
        <f t="shared" ref="C96:BN96" si="11">C36/C37</f>
        <v>#DIV/0!</v>
      </c>
      <c r="D96" s="131"/>
      <c r="E96" s="130">
        <f t="shared" si="11"/>
        <v>0.15950930880262565</v>
      </c>
      <c r="F96" s="130">
        <f t="shared" si="11"/>
        <v>0.25872935415690362</v>
      </c>
      <c r="G96" s="130" t="e">
        <f t="shared" si="11"/>
        <v>#DIV/0!</v>
      </c>
      <c r="H96" s="131"/>
      <c r="I96" s="130">
        <f t="shared" si="11"/>
        <v>0.30631603123319417</v>
      </c>
      <c r="J96" s="130">
        <f t="shared" si="11"/>
        <v>0.51998792099597413</v>
      </c>
      <c r="K96" s="130" t="e">
        <f t="shared" si="11"/>
        <v>#DIV/0!</v>
      </c>
      <c r="L96" s="131"/>
      <c r="M96" s="130">
        <f t="shared" si="11"/>
        <v>0.14000244537954468</v>
      </c>
      <c r="N96" s="130">
        <f t="shared" si="11"/>
        <v>0.36488519305785899</v>
      </c>
      <c r="O96" s="130" t="e">
        <f t="shared" si="11"/>
        <v>#DIV/0!</v>
      </c>
      <c r="P96" s="131"/>
      <c r="Q96" s="130">
        <f t="shared" si="11"/>
        <v>8.4337587653901064E-2</v>
      </c>
      <c r="R96" s="130">
        <f t="shared" si="11"/>
        <v>7.9929820340070581E-2</v>
      </c>
      <c r="S96" s="130" t="e">
        <f t="shared" si="11"/>
        <v>#DIV/0!</v>
      </c>
      <c r="T96" s="131"/>
      <c r="U96" s="130">
        <f t="shared" si="11"/>
        <v>-8.3902145167910336E-2</v>
      </c>
      <c r="V96" s="130" t="e">
        <f t="shared" si="11"/>
        <v>#DIV/0!</v>
      </c>
      <c r="W96" s="130">
        <f t="shared" si="11"/>
        <v>0.32398812049215103</v>
      </c>
      <c r="X96" s="130">
        <f t="shared" si="11"/>
        <v>0.59956120441821759</v>
      </c>
      <c r="Y96" s="130" t="e">
        <f t="shared" si="11"/>
        <v>#DIV/0!</v>
      </c>
      <c r="Z96" s="131"/>
      <c r="AA96" s="130">
        <f t="shared" si="11"/>
        <v>0.11664204337049928</v>
      </c>
      <c r="AB96" s="130">
        <f t="shared" si="11"/>
        <v>0.12387695354990724</v>
      </c>
      <c r="AC96" s="130" t="e">
        <f t="shared" si="11"/>
        <v>#DIV/0!</v>
      </c>
      <c r="AD96" s="131"/>
      <c r="AE96" s="130">
        <f t="shared" si="11"/>
        <v>0.14395345040723451</v>
      </c>
      <c r="AF96" s="130">
        <f t="shared" si="11"/>
        <v>0.14692824616587211</v>
      </c>
      <c r="AG96" s="130" t="e">
        <f t="shared" si="11"/>
        <v>#DIV/0!</v>
      </c>
      <c r="AH96" s="131"/>
      <c r="AI96" s="130">
        <f t="shared" si="11"/>
        <v>0.17478788162194941</v>
      </c>
      <c r="AJ96" s="130" t="e">
        <f t="shared" si="11"/>
        <v>#DIV/0!</v>
      </c>
      <c r="AK96" s="130" t="e">
        <f t="shared" si="11"/>
        <v>#DIV/0!</v>
      </c>
      <c r="AL96" s="131"/>
      <c r="AM96" s="130">
        <f t="shared" si="11"/>
        <v>0.46694059196119525</v>
      </c>
      <c r="AN96" s="130">
        <f t="shared" si="11"/>
        <v>0.49409209383145092</v>
      </c>
      <c r="AO96" s="130" t="e">
        <f t="shared" si="11"/>
        <v>#DIV/0!</v>
      </c>
      <c r="AP96" s="131"/>
      <c r="AQ96" s="130">
        <f t="shared" si="11"/>
        <v>0.18675252989880406</v>
      </c>
      <c r="AR96" s="130">
        <f t="shared" si="11"/>
        <v>0.29528102290497654</v>
      </c>
      <c r="AS96" s="130" t="e">
        <f t="shared" si="11"/>
        <v>#DIV/0!</v>
      </c>
      <c r="AT96" s="130" t="e">
        <f t="shared" si="11"/>
        <v>#DIV/0!</v>
      </c>
      <c r="AU96" s="130" t="e">
        <f t="shared" si="11"/>
        <v>#DIV/0!</v>
      </c>
      <c r="AV96" s="130" t="e">
        <f t="shared" si="11"/>
        <v>#DIV/0!</v>
      </c>
      <c r="AW96" s="130" t="e">
        <f t="shared" si="11"/>
        <v>#DIV/0!</v>
      </c>
      <c r="AX96" s="130" t="e">
        <f t="shared" si="11"/>
        <v>#DIV/0!</v>
      </c>
      <c r="AY96" s="130" t="e">
        <f t="shared" si="11"/>
        <v>#DIV/0!</v>
      </c>
      <c r="AZ96" s="130" t="e">
        <f t="shared" si="11"/>
        <v>#DIV/0!</v>
      </c>
      <c r="BA96" s="130" t="e">
        <f t="shared" si="11"/>
        <v>#DIV/0!</v>
      </c>
      <c r="BB96" s="130" t="e">
        <f t="shared" si="11"/>
        <v>#DIV/0!</v>
      </c>
      <c r="BC96" s="130" t="e">
        <f t="shared" si="11"/>
        <v>#DIV/0!</v>
      </c>
      <c r="BD96" s="130" t="e">
        <f t="shared" si="11"/>
        <v>#DIV/0!</v>
      </c>
      <c r="BE96" s="130" t="e">
        <f t="shared" si="11"/>
        <v>#DIV/0!</v>
      </c>
      <c r="BF96" s="130" t="e">
        <f t="shared" si="11"/>
        <v>#DIV/0!</v>
      </c>
      <c r="BG96" s="130" t="e">
        <f t="shared" si="11"/>
        <v>#DIV/0!</v>
      </c>
      <c r="BH96" s="130" t="e">
        <f t="shared" si="11"/>
        <v>#DIV/0!</v>
      </c>
      <c r="BI96" s="130" t="e">
        <f t="shared" si="11"/>
        <v>#DIV/0!</v>
      </c>
      <c r="BJ96" s="130" t="e">
        <f t="shared" si="11"/>
        <v>#DIV/0!</v>
      </c>
      <c r="BK96" s="130" t="e">
        <f t="shared" si="11"/>
        <v>#DIV/0!</v>
      </c>
      <c r="BL96" s="130" t="e">
        <f t="shared" si="11"/>
        <v>#DIV/0!</v>
      </c>
      <c r="BM96" s="130" t="e">
        <f t="shared" si="11"/>
        <v>#DIV/0!</v>
      </c>
      <c r="BN96" s="130" t="e">
        <f t="shared" si="11"/>
        <v>#DIV/0!</v>
      </c>
      <c r="BO96" s="130" t="e">
        <f t="shared" ref="BO96:DN96" si="12">BO36/BO37</f>
        <v>#DIV/0!</v>
      </c>
      <c r="BP96" s="130" t="e">
        <f t="shared" si="12"/>
        <v>#DIV/0!</v>
      </c>
      <c r="BQ96" s="130" t="e">
        <f t="shared" si="12"/>
        <v>#DIV/0!</v>
      </c>
      <c r="BR96" s="130" t="e">
        <f t="shared" si="12"/>
        <v>#DIV/0!</v>
      </c>
      <c r="BS96" s="130" t="e">
        <f t="shared" si="12"/>
        <v>#DIV/0!</v>
      </c>
      <c r="BT96" s="130" t="e">
        <f t="shared" si="12"/>
        <v>#DIV/0!</v>
      </c>
      <c r="BU96" s="130" t="e">
        <f t="shared" si="12"/>
        <v>#DIV/0!</v>
      </c>
      <c r="BV96" s="130" t="e">
        <f t="shared" si="12"/>
        <v>#DIV/0!</v>
      </c>
      <c r="BW96" s="130" t="e">
        <f t="shared" si="12"/>
        <v>#DIV/0!</v>
      </c>
      <c r="BX96" s="130" t="e">
        <f t="shared" si="12"/>
        <v>#DIV/0!</v>
      </c>
      <c r="BY96" s="130" t="e">
        <f t="shared" si="12"/>
        <v>#DIV/0!</v>
      </c>
      <c r="BZ96" s="130" t="e">
        <f t="shared" si="12"/>
        <v>#DIV/0!</v>
      </c>
      <c r="CA96" s="130" t="e">
        <f t="shared" si="12"/>
        <v>#DIV/0!</v>
      </c>
      <c r="CB96" s="130" t="e">
        <f t="shared" si="12"/>
        <v>#DIV/0!</v>
      </c>
      <c r="CC96" s="130" t="e">
        <f t="shared" si="12"/>
        <v>#DIV/0!</v>
      </c>
      <c r="CD96" s="130" t="e">
        <f t="shared" si="12"/>
        <v>#DIV/0!</v>
      </c>
      <c r="CE96" s="130" t="e">
        <f t="shared" si="12"/>
        <v>#DIV/0!</v>
      </c>
      <c r="CF96" s="130" t="e">
        <f t="shared" si="12"/>
        <v>#DIV/0!</v>
      </c>
      <c r="CG96" s="130" t="e">
        <f t="shared" si="12"/>
        <v>#DIV/0!</v>
      </c>
      <c r="CH96" s="130" t="e">
        <f t="shared" si="12"/>
        <v>#DIV/0!</v>
      </c>
      <c r="CI96" s="130" t="e">
        <f t="shared" si="12"/>
        <v>#DIV/0!</v>
      </c>
      <c r="CJ96" s="130" t="e">
        <f t="shared" si="12"/>
        <v>#DIV/0!</v>
      </c>
      <c r="CK96" s="130" t="e">
        <f t="shared" si="12"/>
        <v>#DIV/0!</v>
      </c>
      <c r="CL96" s="130" t="e">
        <f t="shared" si="12"/>
        <v>#DIV/0!</v>
      </c>
      <c r="CM96" s="130" t="e">
        <f t="shared" si="12"/>
        <v>#DIV/0!</v>
      </c>
      <c r="CN96" s="130" t="e">
        <f t="shared" si="12"/>
        <v>#DIV/0!</v>
      </c>
      <c r="CO96" s="130" t="e">
        <f t="shared" si="12"/>
        <v>#DIV/0!</v>
      </c>
      <c r="CP96" s="130" t="e">
        <f t="shared" si="12"/>
        <v>#DIV/0!</v>
      </c>
      <c r="CQ96" s="130" t="e">
        <f t="shared" si="12"/>
        <v>#DIV/0!</v>
      </c>
      <c r="CR96" s="130" t="e">
        <f t="shared" si="12"/>
        <v>#DIV/0!</v>
      </c>
      <c r="CS96" s="130" t="e">
        <f t="shared" si="12"/>
        <v>#DIV/0!</v>
      </c>
      <c r="CT96" s="130" t="e">
        <f t="shared" si="12"/>
        <v>#DIV/0!</v>
      </c>
      <c r="CU96" s="130" t="e">
        <f t="shared" si="12"/>
        <v>#DIV/0!</v>
      </c>
      <c r="CV96" s="130" t="e">
        <f t="shared" si="12"/>
        <v>#DIV/0!</v>
      </c>
      <c r="CW96" s="130" t="e">
        <f t="shared" si="12"/>
        <v>#DIV/0!</v>
      </c>
      <c r="CX96" s="130" t="e">
        <f t="shared" si="12"/>
        <v>#DIV/0!</v>
      </c>
      <c r="CY96" s="130" t="e">
        <f t="shared" si="12"/>
        <v>#DIV/0!</v>
      </c>
      <c r="CZ96" s="130" t="e">
        <f t="shared" si="12"/>
        <v>#DIV/0!</v>
      </c>
      <c r="DA96" s="130" t="e">
        <f t="shared" si="12"/>
        <v>#DIV/0!</v>
      </c>
      <c r="DB96" s="130" t="e">
        <f t="shared" si="12"/>
        <v>#DIV/0!</v>
      </c>
      <c r="DC96" s="130" t="e">
        <f t="shared" si="12"/>
        <v>#DIV/0!</v>
      </c>
      <c r="DD96" s="130" t="e">
        <f t="shared" si="12"/>
        <v>#DIV/0!</v>
      </c>
      <c r="DE96" s="130" t="e">
        <f t="shared" si="12"/>
        <v>#DIV/0!</v>
      </c>
      <c r="DF96" s="130" t="e">
        <f t="shared" si="12"/>
        <v>#DIV/0!</v>
      </c>
      <c r="DG96" s="130" t="e">
        <f t="shared" si="12"/>
        <v>#DIV/0!</v>
      </c>
      <c r="DH96" s="130" t="e">
        <f t="shared" si="12"/>
        <v>#DIV/0!</v>
      </c>
      <c r="DI96" s="130" t="e">
        <f t="shared" si="12"/>
        <v>#DIV/0!</v>
      </c>
      <c r="DJ96" s="130" t="e">
        <f t="shared" si="12"/>
        <v>#DIV/0!</v>
      </c>
      <c r="DK96" s="130" t="e">
        <f t="shared" si="12"/>
        <v>#DIV/0!</v>
      </c>
      <c r="DL96" s="130" t="e">
        <f t="shared" si="12"/>
        <v>#DIV/0!</v>
      </c>
      <c r="DM96" s="130" t="e">
        <f t="shared" si="12"/>
        <v>#DIV/0!</v>
      </c>
      <c r="DN96" s="130" t="e">
        <f t="shared" si="12"/>
        <v>#DIV/0!</v>
      </c>
    </row>
    <row r="97" spans="1:118" ht="12.75" customHeight="1" x14ac:dyDescent="0.2">
      <c r="B97" s="157" t="s">
        <v>280</v>
      </c>
      <c r="E97" s="130">
        <f>E28/E30</f>
        <v>0.74529359420323349</v>
      </c>
      <c r="F97" s="150"/>
      <c r="I97" s="130">
        <f>I28/I30</f>
        <v>0.2578807379329327</v>
      </c>
      <c r="J97" s="150"/>
      <c r="M97" s="130">
        <f>M28/M30</f>
        <v>0.45213532440081222</v>
      </c>
      <c r="N97" s="150"/>
      <c r="Q97" s="130">
        <f>Q28/Q30</f>
        <v>0.82261579411566954</v>
      </c>
      <c r="R97" s="150"/>
      <c r="U97" s="130">
        <f>U28/U30</f>
        <v>0.96065531511124402</v>
      </c>
      <c r="V97" s="130" t="e">
        <f>V28/V30</f>
        <v>#DIV/0!</v>
      </c>
      <c r="W97" s="130">
        <f>W28/W30</f>
        <v>0.60622825625795507</v>
      </c>
      <c r="X97" s="150"/>
      <c r="AA97" s="130">
        <f>AA28/AA30</f>
        <v>0.8704382969199691</v>
      </c>
      <c r="AB97" s="150"/>
      <c r="AE97" s="130">
        <f>AE28/AE30</f>
        <v>0.826592080493048</v>
      </c>
      <c r="AF97" s="150"/>
      <c r="AI97" s="130">
        <f>AI28/AI30</f>
        <v>0.9240680782902565</v>
      </c>
      <c r="AJ97" s="150"/>
      <c r="AM97" s="130">
        <f>AM28/AM30</f>
        <v>0.49903458993618877</v>
      </c>
      <c r="AN97" s="150"/>
      <c r="AQ97" s="130">
        <f>AQ28/AQ30</f>
        <v>0.99798758049678016</v>
      </c>
      <c r="AR97" s="150"/>
    </row>
    <row r="98" spans="1:118" ht="12.75" customHeight="1" x14ac:dyDescent="0.2">
      <c r="A98" s="162"/>
      <c r="B98" s="163"/>
      <c r="C98" s="91"/>
      <c r="D98" s="92"/>
      <c r="E98" s="85"/>
      <c r="F98" s="85"/>
      <c r="G98" s="91"/>
      <c r="H98" s="92"/>
      <c r="I98" s="85"/>
      <c r="J98" s="85"/>
      <c r="K98" s="91"/>
      <c r="L98" s="92"/>
      <c r="M98" s="85"/>
      <c r="N98" s="85"/>
      <c r="O98" s="91"/>
      <c r="P98" s="92"/>
      <c r="Q98" s="85"/>
      <c r="R98" s="85"/>
      <c r="S98" s="91"/>
      <c r="T98" s="92"/>
      <c r="U98" s="85"/>
      <c r="V98" s="85"/>
      <c r="W98" s="85"/>
      <c r="X98" s="85"/>
      <c r="Y98" s="91"/>
      <c r="Z98" s="92"/>
      <c r="AA98" s="85"/>
      <c r="AB98" s="85"/>
      <c r="AC98" s="91"/>
      <c r="AD98" s="92"/>
      <c r="AE98" s="85"/>
      <c r="AF98" s="85"/>
      <c r="AG98" s="91"/>
      <c r="AH98" s="92"/>
      <c r="AI98" s="85"/>
      <c r="AJ98" s="85"/>
      <c r="AK98" s="91"/>
      <c r="AL98" s="92"/>
      <c r="AM98" s="85"/>
      <c r="AN98" s="85"/>
      <c r="AO98" s="91"/>
      <c r="AP98" s="92"/>
      <c r="AQ98" s="85"/>
      <c r="AR98" s="85"/>
      <c r="AS98" s="85"/>
    </row>
    <row r="99" spans="1:118" ht="12.75" customHeight="1" x14ac:dyDescent="0.2">
      <c r="A99" s="148" t="s">
        <v>281</v>
      </c>
      <c r="B99" s="148"/>
      <c r="C99" s="91"/>
      <c r="D99" s="92"/>
      <c r="E99" s="85"/>
      <c r="F99" s="85"/>
      <c r="G99" s="91"/>
      <c r="H99" s="92"/>
      <c r="I99" s="85"/>
      <c r="J99" s="85"/>
      <c r="K99" s="91"/>
      <c r="L99" s="92"/>
      <c r="M99" s="85"/>
      <c r="N99" s="85"/>
      <c r="O99" s="91"/>
      <c r="P99" s="92"/>
      <c r="Q99" s="85"/>
      <c r="R99" s="85"/>
      <c r="S99" s="91"/>
      <c r="T99" s="92"/>
      <c r="U99" s="85"/>
      <c r="V99" s="85"/>
      <c r="W99" s="85"/>
      <c r="X99" s="85"/>
      <c r="Y99" s="91"/>
      <c r="Z99" s="92"/>
      <c r="AA99" s="85"/>
      <c r="AB99" s="85"/>
      <c r="AC99" s="91"/>
      <c r="AD99" s="92"/>
      <c r="AE99" s="85"/>
      <c r="AF99" s="85"/>
      <c r="AG99" s="91"/>
      <c r="AH99" s="92"/>
      <c r="AI99" s="85"/>
      <c r="AJ99" s="85"/>
      <c r="AK99" s="91"/>
      <c r="AL99" s="92"/>
      <c r="AM99" s="85"/>
      <c r="AN99" s="85"/>
      <c r="AO99" s="91"/>
      <c r="AP99" s="92"/>
      <c r="AQ99" s="85"/>
      <c r="AR99" s="85"/>
      <c r="AS99" s="85"/>
    </row>
    <row r="100" spans="1:118" ht="12.75" customHeight="1" x14ac:dyDescent="0.2">
      <c r="B100" s="165" t="s">
        <v>282</v>
      </c>
      <c r="E100" s="130">
        <f>E57/E28</f>
        <v>0.18426602161541922</v>
      </c>
      <c r="F100" s="150"/>
      <c r="I100" s="130">
        <f>I57/I28</f>
        <v>0</v>
      </c>
      <c r="J100" s="150"/>
      <c r="M100" s="130">
        <f>M57/M28</f>
        <v>0.97056867792122947</v>
      </c>
      <c r="N100" s="150"/>
      <c r="Q100" s="130">
        <f>Q57/Q28</f>
        <v>0</v>
      </c>
      <c r="R100" s="150"/>
      <c r="U100" s="130">
        <f>U57/U28</f>
        <v>1</v>
      </c>
      <c r="V100" s="130" t="e">
        <f>V57/V28</f>
        <v>#DIV/0!</v>
      </c>
      <c r="W100" s="130">
        <f>W57/W28</f>
        <v>0.76283522759084033</v>
      </c>
      <c r="X100" s="150"/>
      <c r="AA100" s="130">
        <f>AA57/AA28</f>
        <v>4.6294666725210695E-2</v>
      </c>
      <c r="AB100" s="150"/>
      <c r="AE100" s="130">
        <f>AE57/AE28</f>
        <v>0</v>
      </c>
      <c r="AF100" s="150"/>
      <c r="AI100" s="130">
        <f>AI57/AI28</f>
        <v>1.3387480336301539E-2</v>
      </c>
      <c r="AJ100" s="150"/>
      <c r="AM100" s="130">
        <f>AM57/AM28</f>
        <v>0</v>
      </c>
      <c r="AN100" s="150"/>
      <c r="AQ100" s="130">
        <f>AQ57/AQ28</f>
        <v>0</v>
      </c>
      <c r="AR100" s="150"/>
    </row>
    <row r="101" spans="1:118" ht="12.75" customHeight="1" x14ac:dyDescent="0.2">
      <c r="B101" s="166" t="s">
        <v>283</v>
      </c>
      <c r="E101" s="130">
        <f>E54/SUM(E14+E7)</f>
        <v>0.3204058938003892</v>
      </c>
      <c r="F101" s="150"/>
      <c r="I101" s="130">
        <f>I54/SUM(I14+I7)</f>
        <v>0</v>
      </c>
      <c r="J101" s="150"/>
      <c r="M101" s="130">
        <f>M54/SUM(M14+M7)</f>
        <v>0</v>
      </c>
      <c r="N101" s="150"/>
      <c r="Q101" s="130">
        <f>Q54/SUM(Q14+Q7)</f>
        <v>0</v>
      </c>
      <c r="R101" s="150"/>
      <c r="U101" s="130">
        <f>U54/SUM(U14+U7)</f>
        <v>0</v>
      </c>
      <c r="V101" s="130" t="e">
        <f>V54/SUM(V14+V7)</f>
        <v>#DIV/0!</v>
      </c>
      <c r="W101" s="130">
        <f>W54/SUM(W14+W7)</f>
        <v>0.1055260473460199</v>
      </c>
      <c r="X101" s="150"/>
      <c r="AA101" s="130">
        <f>AA54/SUM(AA14+AA7)</f>
        <v>8.2700920645863638E-2</v>
      </c>
      <c r="AB101" s="150"/>
      <c r="AE101" s="130">
        <f>AE54/SUM(AE14+AE7)</f>
        <v>0</v>
      </c>
      <c r="AF101" s="150"/>
      <c r="AI101" s="130">
        <f>AI54/SUM(AI14+AI7)</f>
        <v>0</v>
      </c>
      <c r="AJ101" s="150"/>
      <c r="AM101" s="130">
        <f>AM54/SUM(AM14+AM7)</f>
        <v>8.1776364359134532E-3</v>
      </c>
      <c r="AN101" s="150"/>
      <c r="AQ101" s="130">
        <f>AQ54/SUM(AQ14+AQ7)</f>
        <v>0</v>
      </c>
      <c r="AR101" s="150"/>
    </row>
    <row r="102" spans="1:118" ht="12.75" customHeight="1" x14ac:dyDescent="0.2">
      <c r="A102" s="162"/>
      <c r="B102" s="163"/>
      <c r="C102" s="91"/>
      <c r="D102" s="92"/>
      <c r="E102" s="85"/>
      <c r="F102" s="85"/>
      <c r="G102" s="91"/>
      <c r="H102" s="92"/>
      <c r="I102" s="85"/>
      <c r="J102" s="85"/>
      <c r="K102" s="91"/>
      <c r="L102" s="92"/>
      <c r="M102" s="85"/>
      <c r="N102" s="85"/>
      <c r="O102" s="91"/>
      <c r="P102" s="92"/>
      <c r="Q102" s="85"/>
      <c r="R102" s="85"/>
      <c r="S102" s="91"/>
      <c r="T102" s="92"/>
      <c r="U102" s="85"/>
      <c r="V102" s="85"/>
      <c r="W102" s="85"/>
      <c r="X102" s="85"/>
      <c r="Y102" s="91"/>
      <c r="Z102" s="92"/>
      <c r="AA102" s="85"/>
      <c r="AB102" s="85"/>
      <c r="AC102" s="91"/>
      <c r="AD102" s="92"/>
      <c r="AE102" s="85"/>
      <c r="AF102" s="85"/>
      <c r="AG102" s="91"/>
      <c r="AH102" s="92"/>
      <c r="AI102" s="85"/>
      <c r="AJ102" s="85"/>
      <c r="AK102" s="91"/>
      <c r="AL102" s="92"/>
      <c r="AM102" s="85"/>
      <c r="AN102" s="85"/>
      <c r="AO102" s="91"/>
      <c r="AP102" s="92"/>
      <c r="AQ102" s="85"/>
      <c r="AR102" s="85"/>
      <c r="AS102" s="85"/>
    </row>
    <row r="103" spans="1:118" ht="12.75" customHeight="1" x14ac:dyDescent="0.2">
      <c r="A103" s="148" t="s">
        <v>144</v>
      </c>
      <c r="B103" s="148"/>
      <c r="C103" s="91"/>
      <c r="D103" s="92"/>
      <c r="E103" s="85"/>
      <c r="F103" s="85"/>
      <c r="G103" s="91"/>
      <c r="H103" s="92"/>
      <c r="I103" s="85"/>
      <c r="J103" s="85"/>
      <c r="K103" s="91"/>
      <c r="L103" s="92"/>
      <c r="M103" s="85"/>
      <c r="N103" s="85"/>
      <c r="O103" s="91"/>
      <c r="P103" s="92"/>
      <c r="Q103" s="85"/>
      <c r="R103" s="85"/>
      <c r="S103" s="91"/>
      <c r="T103" s="92"/>
      <c r="U103" s="85"/>
      <c r="V103" s="85"/>
      <c r="W103" s="85"/>
      <c r="X103" s="85"/>
      <c r="Y103" s="91"/>
      <c r="Z103" s="92"/>
      <c r="AA103" s="85"/>
      <c r="AB103" s="85"/>
      <c r="AC103" s="91"/>
      <c r="AD103" s="92"/>
      <c r="AE103" s="85"/>
      <c r="AF103" s="85"/>
      <c r="AG103" s="91"/>
      <c r="AH103" s="92"/>
      <c r="AI103" s="85"/>
      <c r="AJ103" s="85"/>
      <c r="AK103" s="91"/>
      <c r="AL103" s="92"/>
      <c r="AM103" s="85"/>
      <c r="AN103" s="85"/>
      <c r="AO103" s="91"/>
      <c r="AP103" s="92"/>
      <c r="AQ103" s="85"/>
      <c r="AR103" s="85"/>
      <c r="AS103" s="85"/>
    </row>
    <row r="104" spans="1:118" ht="12.75" customHeight="1" x14ac:dyDescent="0.2">
      <c r="A104" s="162"/>
      <c r="B104" s="167" t="s">
        <v>284</v>
      </c>
      <c r="C104" s="130" t="e">
        <f t="shared" ref="C104:BN104" si="13">C42/C30</f>
        <v>#DIV/0!</v>
      </c>
      <c r="D104" s="131"/>
      <c r="E104" s="130">
        <f t="shared" si="13"/>
        <v>8.2455998428308929E-3</v>
      </c>
      <c r="F104" s="130">
        <f t="shared" si="13"/>
        <v>0</v>
      </c>
      <c r="G104" s="130" t="e">
        <f t="shared" si="13"/>
        <v>#DIV/0!</v>
      </c>
      <c r="H104" s="131"/>
      <c r="I104" s="130">
        <f t="shared" si="13"/>
        <v>0</v>
      </c>
      <c r="J104" s="130">
        <f t="shared" si="13"/>
        <v>0</v>
      </c>
      <c r="K104" s="130" t="e">
        <f t="shared" si="13"/>
        <v>#DIV/0!</v>
      </c>
      <c r="L104" s="131"/>
      <c r="M104" s="130">
        <f t="shared" si="13"/>
        <v>0</v>
      </c>
      <c r="N104" s="130">
        <f t="shared" si="13"/>
        <v>0</v>
      </c>
      <c r="O104" s="130" t="e">
        <f t="shared" si="13"/>
        <v>#DIV/0!</v>
      </c>
      <c r="P104" s="131"/>
      <c r="Q104" s="130">
        <f t="shared" si="13"/>
        <v>1.5175940610897758E-2</v>
      </c>
      <c r="R104" s="130">
        <f t="shared" si="13"/>
        <v>4.2011549566891241E-3</v>
      </c>
      <c r="S104" s="130" t="e">
        <f t="shared" si="13"/>
        <v>#DIV/0!</v>
      </c>
      <c r="T104" s="131"/>
      <c r="U104" s="130">
        <f t="shared" si="13"/>
        <v>0</v>
      </c>
      <c r="V104" s="130" t="e">
        <f t="shared" si="13"/>
        <v>#DIV/0!</v>
      </c>
      <c r="W104" s="130">
        <f t="shared" si="13"/>
        <v>0</v>
      </c>
      <c r="X104" s="130">
        <f t="shared" si="13"/>
        <v>0</v>
      </c>
      <c r="Y104" s="130" t="e">
        <f t="shared" si="13"/>
        <v>#DIV/0!</v>
      </c>
      <c r="Z104" s="131"/>
      <c r="AA104" s="130">
        <f t="shared" si="13"/>
        <v>7.0842701258210525E-4</v>
      </c>
      <c r="AB104" s="130">
        <f t="shared" si="13"/>
        <v>-3.1911957254031876E-3</v>
      </c>
      <c r="AC104" s="130" t="e">
        <f t="shared" si="13"/>
        <v>#DIV/0!</v>
      </c>
      <c r="AD104" s="131"/>
      <c r="AE104" s="130">
        <f t="shared" si="13"/>
        <v>8.4721620154368266E-2</v>
      </c>
      <c r="AF104" s="130">
        <f t="shared" si="13"/>
        <v>6.1415437172297679E-2</v>
      </c>
      <c r="AG104" s="130" t="e">
        <f t="shared" si="13"/>
        <v>#DIV/0!</v>
      </c>
      <c r="AH104" s="131"/>
      <c r="AI104" s="130">
        <f t="shared" si="13"/>
        <v>0.21596042188875109</v>
      </c>
      <c r="AJ104" s="130" t="e">
        <f t="shared" si="13"/>
        <v>#DIV/0!</v>
      </c>
      <c r="AK104" s="130" t="e">
        <f t="shared" si="13"/>
        <v>#DIV/0!</v>
      </c>
      <c r="AL104" s="131"/>
      <c r="AM104" s="130">
        <f t="shared" si="13"/>
        <v>0</v>
      </c>
      <c r="AN104" s="130">
        <f t="shared" si="13"/>
        <v>0</v>
      </c>
      <c r="AO104" s="130" t="e">
        <f t="shared" si="13"/>
        <v>#DIV/0!</v>
      </c>
      <c r="AP104" s="131"/>
      <c r="AQ104" s="130">
        <f t="shared" si="13"/>
        <v>5.266789328426863E-2</v>
      </c>
      <c r="AR104" s="130">
        <f t="shared" si="13"/>
        <v>5.3720908840033117E-2</v>
      </c>
      <c r="AS104" s="130" t="e">
        <f t="shared" si="13"/>
        <v>#DIV/0!</v>
      </c>
      <c r="AT104" s="130" t="e">
        <f t="shared" si="13"/>
        <v>#DIV/0!</v>
      </c>
      <c r="AU104" s="130" t="e">
        <f t="shared" si="13"/>
        <v>#DIV/0!</v>
      </c>
      <c r="AV104" s="130" t="e">
        <f t="shared" si="13"/>
        <v>#DIV/0!</v>
      </c>
      <c r="AW104" s="130" t="e">
        <f t="shared" si="13"/>
        <v>#DIV/0!</v>
      </c>
      <c r="AX104" s="130" t="e">
        <f t="shared" si="13"/>
        <v>#DIV/0!</v>
      </c>
      <c r="AY104" s="130" t="e">
        <f t="shared" si="13"/>
        <v>#DIV/0!</v>
      </c>
      <c r="AZ104" s="130" t="e">
        <f t="shared" si="13"/>
        <v>#DIV/0!</v>
      </c>
      <c r="BA104" s="130" t="e">
        <f t="shared" si="13"/>
        <v>#DIV/0!</v>
      </c>
      <c r="BB104" s="130" t="e">
        <f t="shared" si="13"/>
        <v>#DIV/0!</v>
      </c>
      <c r="BC104" s="130" t="e">
        <f t="shared" si="13"/>
        <v>#DIV/0!</v>
      </c>
      <c r="BD104" s="130" t="e">
        <f t="shared" si="13"/>
        <v>#DIV/0!</v>
      </c>
      <c r="BE104" s="130" t="e">
        <f t="shared" si="13"/>
        <v>#DIV/0!</v>
      </c>
      <c r="BF104" s="130" t="e">
        <f t="shared" si="13"/>
        <v>#DIV/0!</v>
      </c>
      <c r="BG104" s="130" t="e">
        <f t="shared" si="13"/>
        <v>#DIV/0!</v>
      </c>
      <c r="BH104" s="130" t="e">
        <f t="shared" si="13"/>
        <v>#DIV/0!</v>
      </c>
      <c r="BI104" s="130" t="e">
        <f t="shared" si="13"/>
        <v>#DIV/0!</v>
      </c>
      <c r="BJ104" s="130" t="e">
        <f t="shared" si="13"/>
        <v>#DIV/0!</v>
      </c>
      <c r="BK104" s="130" t="e">
        <f t="shared" si="13"/>
        <v>#DIV/0!</v>
      </c>
      <c r="BL104" s="130" t="e">
        <f t="shared" si="13"/>
        <v>#DIV/0!</v>
      </c>
      <c r="BM104" s="130" t="e">
        <f t="shared" si="13"/>
        <v>#DIV/0!</v>
      </c>
      <c r="BN104" s="130" t="e">
        <f t="shared" si="13"/>
        <v>#DIV/0!</v>
      </c>
      <c r="BO104" s="130" t="e">
        <f t="shared" ref="BO104:DN104" si="14">BO42/BO30</f>
        <v>#DIV/0!</v>
      </c>
      <c r="BP104" s="130" t="e">
        <f t="shared" si="14"/>
        <v>#DIV/0!</v>
      </c>
      <c r="BQ104" s="130" t="e">
        <f t="shared" si="14"/>
        <v>#DIV/0!</v>
      </c>
      <c r="BR104" s="130" t="e">
        <f t="shared" si="14"/>
        <v>#DIV/0!</v>
      </c>
      <c r="BS104" s="130" t="e">
        <f t="shared" si="14"/>
        <v>#DIV/0!</v>
      </c>
      <c r="BT104" s="130" t="e">
        <f t="shared" si="14"/>
        <v>#DIV/0!</v>
      </c>
      <c r="BU104" s="130" t="e">
        <f t="shared" si="14"/>
        <v>#DIV/0!</v>
      </c>
      <c r="BV104" s="130" t="e">
        <f t="shared" si="14"/>
        <v>#DIV/0!</v>
      </c>
      <c r="BW104" s="130" t="e">
        <f t="shared" si="14"/>
        <v>#DIV/0!</v>
      </c>
      <c r="BX104" s="130" t="e">
        <f t="shared" si="14"/>
        <v>#DIV/0!</v>
      </c>
      <c r="BY104" s="130" t="e">
        <f t="shared" si="14"/>
        <v>#DIV/0!</v>
      </c>
      <c r="BZ104" s="130" t="e">
        <f t="shared" si="14"/>
        <v>#DIV/0!</v>
      </c>
      <c r="CA104" s="130" t="e">
        <f t="shared" si="14"/>
        <v>#DIV/0!</v>
      </c>
      <c r="CB104" s="130" t="e">
        <f t="shared" si="14"/>
        <v>#DIV/0!</v>
      </c>
      <c r="CC104" s="130" t="e">
        <f t="shared" si="14"/>
        <v>#DIV/0!</v>
      </c>
      <c r="CD104" s="130" t="e">
        <f t="shared" si="14"/>
        <v>#DIV/0!</v>
      </c>
      <c r="CE104" s="130" t="e">
        <f t="shared" si="14"/>
        <v>#DIV/0!</v>
      </c>
      <c r="CF104" s="130" t="e">
        <f t="shared" si="14"/>
        <v>#DIV/0!</v>
      </c>
      <c r="CG104" s="130" t="e">
        <f t="shared" si="14"/>
        <v>#DIV/0!</v>
      </c>
      <c r="CH104" s="130" t="e">
        <f t="shared" si="14"/>
        <v>#DIV/0!</v>
      </c>
      <c r="CI104" s="130" t="e">
        <f t="shared" si="14"/>
        <v>#DIV/0!</v>
      </c>
      <c r="CJ104" s="130" t="e">
        <f t="shared" si="14"/>
        <v>#DIV/0!</v>
      </c>
      <c r="CK104" s="130" t="e">
        <f t="shared" si="14"/>
        <v>#DIV/0!</v>
      </c>
      <c r="CL104" s="130" t="e">
        <f t="shared" si="14"/>
        <v>#DIV/0!</v>
      </c>
      <c r="CM104" s="130" t="e">
        <f t="shared" si="14"/>
        <v>#DIV/0!</v>
      </c>
      <c r="CN104" s="130" t="e">
        <f t="shared" si="14"/>
        <v>#DIV/0!</v>
      </c>
      <c r="CO104" s="130" t="e">
        <f t="shared" si="14"/>
        <v>#DIV/0!</v>
      </c>
      <c r="CP104" s="130" t="e">
        <f t="shared" si="14"/>
        <v>#DIV/0!</v>
      </c>
      <c r="CQ104" s="130" t="e">
        <f t="shared" si="14"/>
        <v>#DIV/0!</v>
      </c>
      <c r="CR104" s="130" t="e">
        <f t="shared" si="14"/>
        <v>#DIV/0!</v>
      </c>
      <c r="CS104" s="130" t="e">
        <f t="shared" si="14"/>
        <v>#DIV/0!</v>
      </c>
      <c r="CT104" s="130" t="e">
        <f t="shared" si="14"/>
        <v>#DIV/0!</v>
      </c>
      <c r="CU104" s="130" t="e">
        <f t="shared" si="14"/>
        <v>#DIV/0!</v>
      </c>
      <c r="CV104" s="130" t="e">
        <f t="shared" si="14"/>
        <v>#DIV/0!</v>
      </c>
      <c r="CW104" s="130" t="e">
        <f t="shared" si="14"/>
        <v>#DIV/0!</v>
      </c>
      <c r="CX104" s="130" t="e">
        <f t="shared" si="14"/>
        <v>#DIV/0!</v>
      </c>
      <c r="CY104" s="130" t="e">
        <f t="shared" si="14"/>
        <v>#DIV/0!</v>
      </c>
      <c r="CZ104" s="130" t="e">
        <f t="shared" si="14"/>
        <v>#DIV/0!</v>
      </c>
      <c r="DA104" s="130" t="e">
        <f t="shared" si="14"/>
        <v>#DIV/0!</v>
      </c>
      <c r="DB104" s="130" t="e">
        <f t="shared" si="14"/>
        <v>#DIV/0!</v>
      </c>
      <c r="DC104" s="130" t="e">
        <f t="shared" si="14"/>
        <v>#DIV/0!</v>
      </c>
      <c r="DD104" s="130" t="e">
        <f t="shared" si="14"/>
        <v>#DIV/0!</v>
      </c>
      <c r="DE104" s="130" t="e">
        <f t="shared" si="14"/>
        <v>#DIV/0!</v>
      </c>
      <c r="DF104" s="130" t="e">
        <f t="shared" si="14"/>
        <v>#DIV/0!</v>
      </c>
      <c r="DG104" s="130" t="e">
        <f t="shared" si="14"/>
        <v>#DIV/0!</v>
      </c>
      <c r="DH104" s="130" t="e">
        <f t="shared" si="14"/>
        <v>#DIV/0!</v>
      </c>
      <c r="DI104" s="130" t="e">
        <f t="shared" si="14"/>
        <v>#DIV/0!</v>
      </c>
      <c r="DJ104" s="130" t="e">
        <f t="shared" si="14"/>
        <v>#DIV/0!</v>
      </c>
      <c r="DK104" s="130" t="e">
        <f t="shared" si="14"/>
        <v>#DIV/0!</v>
      </c>
      <c r="DL104" s="130" t="e">
        <f t="shared" si="14"/>
        <v>#DIV/0!</v>
      </c>
      <c r="DM104" s="130" t="e">
        <f t="shared" si="14"/>
        <v>#DIV/0!</v>
      </c>
      <c r="DN104" s="130" t="e">
        <f t="shared" si="14"/>
        <v>#DIV/0!</v>
      </c>
    </row>
    <row r="105" spans="1:118" ht="12.75" customHeight="1" x14ac:dyDescent="0.2">
      <c r="A105" s="74"/>
      <c r="B105" s="168" t="s">
        <v>285</v>
      </c>
      <c r="C105" s="130" t="e">
        <f t="shared" ref="C105:AR105" si="15">C46/C28</f>
        <v>#DIV/0!</v>
      </c>
      <c r="D105" s="131"/>
      <c r="E105" s="130">
        <f t="shared" si="15"/>
        <v>3.8610038610038611E-3</v>
      </c>
      <c r="F105" s="130">
        <f t="shared" si="15"/>
        <v>3.4002464398795876E-3</v>
      </c>
      <c r="G105" s="130" t="e">
        <f t="shared" si="15"/>
        <v>#DIV/0!</v>
      </c>
      <c r="H105" s="131"/>
      <c r="I105" s="130">
        <f t="shared" si="15"/>
        <v>0</v>
      </c>
      <c r="J105" s="130">
        <f t="shared" si="15"/>
        <v>0</v>
      </c>
      <c r="K105" s="130" t="e">
        <f t="shared" si="15"/>
        <v>#DIV/0!</v>
      </c>
      <c r="L105" s="131"/>
      <c r="M105" s="130">
        <f t="shared" si="15"/>
        <v>0</v>
      </c>
      <c r="N105" s="130" t="e">
        <f t="shared" si="15"/>
        <v>#DIV/0!</v>
      </c>
      <c r="O105" s="130" t="e">
        <f t="shared" si="15"/>
        <v>#DIV/0!</v>
      </c>
      <c r="P105" s="131"/>
      <c r="Q105" s="130">
        <f t="shared" si="15"/>
        <v>9.7696534946223636E-3</v>
      </c>
      <c r="R105" s="130">
        <f t="shared" si="15"/>
        <v>5.8309248659378851E-3</v>
      </c>
      <c r="S105" s="130" t="e">
        <f t="shared" si="15"/>
        <v>#DIV/0!</v>
      </c>
      <c r="T105" s="131"/>
      <c r="U105" s="130">
        <f t="shared" si="15"/>
        <v>0</v>
      </c>
      <c r="V105" s="130" t="e">
        <f t="shared" si="15"/>
        <v>#DIV/0!</v>
      </c>
      <c r="W105" s="130">
        <f t="shared" si="15"/>
        <v>0</v>
      </c>
      <c r="X105" s="130">
        <f t="shared" si="15"/>
        <v>0</v>
      </c>
      <c r="Y105" s="130" t="e">
        <f t="shared" si="15"/>
        <v>#DIV/0!</v>
      </c>
      <c r="Z105" s="131"/>
      <c r="AA105" s="130">
        <f t="shared" si="15"/>
        <v>4.2766411914053919E-4</v>
      </c>
      <c r="AB105" s="130">
        <f t="shared" si="15"/>
        <v>5.3747800569756545E-4</v>
      </c>
      <c r="AC105" s="130" t="e">
        <f t="shared" si="15"/>
        <v>#DIV/0!</v>
      </c>
      <c r="AD105" s="131"/>
      <c r="AE105" s="130">
        <f t="shared" si="15"/>
        <v>2.5678883386128691E-2</v>
      </c>
      <c r="AF105" s="130">
        <f t="shared" si="15"/>
        <v>2.5549274441613454E-2</v>
      </c>
      <c r="AG105" s="130" t="e">
        <f t="shared" si="15"/>
        <v>#DIV/0!</v>
      </c>
      <c r="AH105" s="131"/>
      <c r="AI105" s="130">
        <f t="shared" si="15"/>
        <v>4.986836425272323E-2</v>
      </c>
      <c r="AJ105" s="130" t="e">
        <f t="shared" si="15"/>
        <v>#DIV/0!</v>
      </c>
      <c r="AK105" s="130" t="e">
        <f t="shared" si="15"/>
        <v>#DIV/0!</v>
      </c>
      <c r="AL105" s="131"/>
      <c r="AM105" s="130">
        <f t="shared" si="15"/>
        <v>0</v>
      </c>
      <c r="AN105" s="130">
        <f t="shared" si="15"/>
        <v>0</v>
      </c>
      <c r="AO105" s="130" t="e">
        <f t="shared" si="15"/>
        <v>#DIV/0!</v>
      </c>
      <c r="AP105" s="131"/>
      <c r="AQ105" s="130">
        <f t="shared" si="15"/>
        <v>6.1646597914386128E-3</v>
      </c>
      <c r="AR105" s="130">
        <f t="shared" si="15"/>
        <v>4.3538281830731657E-3</v>
      </c>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c r="DC105" s="130"/>
      <c r="DD105" s="130"/>
      <c r="DE105" s="130"/>
      <c r="DF105" s="130"/>
      <c r="DG105" s="130"/>
      <c r="DH105" s="130"/>
      <c r="DI105" s="130"/>
      <c r="DJ105" s="130"/>
      <c r="DK105" s="130"/>
      <c r="DL105" s="130"/>
      <c r="DM105" s="130"/>
      <c r="DN105" s="130"/>
    </row>
    <row r="106" spans="1:118" ht="12.75" customHeight="1" x14ac:dyDescent="0.2">
      <c r="B106" s="166" t="s">
        <v>286</v>
      </c>
      <c r="C106" s="130" t="e">
        <f t="shared" ref="C106:AR106" si="16">C45/C28</f>
        <v>#DIV/0!</v>
      </c>
      <c r="D106" s="131"/>
      <c r="E106" s="130">
        <f t="shared" si="16"/>
        <v>2.8531112868462266E-3</v>
      </c>
      <c r="F106" s="130">
        <f t="shared" si="16"/>
        <v>3.4002464398795876E-3</v>
      </c>
      <c r="G106" s="130" t="e">
        <f t="shared" si="16"/>
        <v>#DIV/0!</v>
      </c>
      <c r="H106" s="131"/>
      <c r="I106" s="130">
        <f t="shared" si="16"/>
        <v>0</v>
      </c>
      <c r="J106" s="130">
        <f t="shared" si="16"/>
        <v>0</v>
      </c>
      <c r="K106" s="130" t="e">
        <f t="shared" si="16"/>
        <v>#DIV/0!</v>
      </c>
      <c r="L106" s="131"/>
      <c r="M106" s="130">
        <f t="shared" si="16"/>
        <v>0</v>
      </c>
      <c r="N106" s="130" t="e">
        <f t="shared" si="16"/>
        <v>#DIV/0!</v>
      </c>
      <c r="O106" s="130" t="e">
        <f t="shared" si="16"/>
        <v>#DIV/0!</v>
      </c>
      <c r="P106" s="131"/>
      <c r="Q106" s="130">
        <f t="shared" si="16"/>
        <v>3.8131457611146635E-3</v>
      </c>
      <c r="R106" s="130">
        <f t="shared" si="16"/>
        <v>4.9354906646888073E-3</v>
      </c>
      <c r="S106" s="130" t="e">
        <f t="shared" si="16"/>
        <v>#DIV/0!</v>
      </c>
      <c r="T106" s="131"/>
      <c r="U106" s="130">
        <f t="shared" si="16"/>
        <v>0</v>
      </c>
      <c r="V106" s="130" t="e">
        <f t="shared" si="16"/>
        <v>#DIV/0!</v>
      </c>
      <c r="W106" s="130">
        <f t="shared" si="16"/>
        <v>0</v>
      </c>
      <c r="X106" s="130">
        <f t="shared" si="16"/>
        <v>0</v>
      </c>
      <c r="Y106" s="130" t="e">
        <f t="shared" si="16"/>
        <v>#DIV/0!</v>
      </c>
      <c r="Z106" s="131"/>
      <c r="AA106" s="130">
        <f t="shared" si="16"/>
        <v>0</v>
      </c>
      <c r="AB106" s="130">
        <f t="shared" si="16"/>
        <v>0</v>
      </c>
      <c r="AC106" s="130" t="e">
        <f t="shared" si="16"/>
        <v>#DIV/0!</v>
      </c>
      <c r="AD106" s="131"/>
      <c r="AE106" s="130">
        <f t="shared" si="16"/>
        <v>2.5678883386128691E-2</v>
      </c>
      <c r="AF106" s="130">
        <f t="shared" si="16"/>
        <v>2.5549274441613454E-2</v>
      </c>
      <c r="AG106" s="130" t="e">
        <f t="shared" si="16"/>
        <v>#DIV/0!</v>
      </c>
      <c r="AH106" s="131"/>
      <c r="AI106" s="130">
        <f t="shared" si="16"/>
        <v>4.986836425272323E-2</v>
      </c>
      <c r="AJ106" s="130" t="e">
        <f t="shared" si="16"/>
        <v>#DIV/0!</v>
      </c>
      <c r="AK106" s="130" t="e">
        <f t="shared" si="16"/>
        <v>#DIV/0!</v>
      </c>
      <c r="AL106" s="131"/>
      <c r="AM106" s="130">
        <f t="shared" si="16"/>
        <v>0</v>
      </c>
      <c r="AN106" s="130">
        <f t="shared" si="16"/>
        <v>0</v>
      </c>
      <c r="AO106" s="130" t="e">
        <f t="shared" si="16"/>
        <v>#DIV/0!</v>
      </c>
      <c r="AP106" s="131"/>
      <c r="AQ106" s="130">
        <f t="shared" si="16"/>
        <v>0</v>
      </c>
      <c r="AR106" s="130">
        <f t="shared" si="16"/>
        <v>0</v>
      </c>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0"/>
      <c r="CY106" s="130"/>
      <c r="CZ106" s="130"/>
      <c r="DA106" s="130"/>
      <c r="DB106" s="130"/>
      <c r="DC106" s="130"/>
      <c r="DD106" s="130"/>
      <c r="DE106" s="130"/>
      <c r="DF106" s="130"/>
      <c r="DG106" s="130"/>
      <c r="DH106" s="130"/>
      <c r="DI106" s="130"/>
      <c r="DJ106" s="130"/>
      <c r="DK106" s="130"/>
      <c r="DL106" s="130"/>
      <c r="DM106" s="130"/>
      <c r="DN106" s="130"/>
    </row>
    <row r="107" spans="1:118" ht="12.75" customHeight="1" x14ac:dyDescent="0.2">
      <c r="B107" s="165" t="s">
        <v>7</v>
      </c>
      <c r="E107" s="130">
        <f>E115/E121</f>
        <v>4.5987726248737665E-3</v>
      </c>
      <c r="F107" s="120"/>
      <c r="I107" s="130">
        <f>I115/I121</f>
        <v>0</v>
      </c>
      <c r="J107" s="120"/>
      <c r="M107" s="130">
        <f>M115/M121</f>
        <v>0</v>
      </c>
      <c r="N107" s="120"/>
      <c r="Q107" s="130">
        <f>Q115/Q121</f>
        <v>5.9573306672321058E-3</v>
      </c>
      <c r="R107" s="120"/>
      <c r="U107" s="130">
        <f>U115/U121</f>
        <v>0</v>
      </c>
      <c r="V107" s="130">
        <f>V115/V121</f>
        <v>0</v>
      </c>
      <c r="W107" s="130">
        <f>W115/W121</f>
        <v>0</v>
      </c>
      <c r="X107" s="120"/>
      <c r="AA107" s="130">
        <f>AA115/AA121</f>
        <v>0</v>
      </c>
      <c r="AB107" s="120"/>
      <c r="AE107" s="130">
        <f>AE115/AE121</f>
        <v>6.9042252248807987E-2</v>
      </c>
      <c r="AF107" s="120"/>
      <c r="AI107" s="130">
        <f>AI115/AI121</f>
        <v>2.1181805262899658E-2</v>
      </c>
      <c r="AJ107" s="120"/>
      <c r="AM107" s="130">
        <f>AM115/AM121</f>
        <v>1.0717544204095302E-2</v>
      </c>
      <c r="AN107" s="120"/>
      <c r="AQ107" s="130">
        <f>AQ115/AQ121</f>
        <v>4.9301561216105174E-3</v>
      </c>
      <c r="AR107" s="120"/>
      <c r="CY107" s="2" t="e">
        <f>CY115/CY121</f>
        <v>#DIV/0!</v>
      </c>
    </row>
    <row r="108" spans="1:118" ht="12.75" customHeight="1" x14ac:dyDescent="0.2">
      <c r="B108" s="166" t="s">
        <v>287</v>
      </c>
      <c r="C108" s="130" t="e">
        <f t="shared" ref="C108:BN108" si="17">C116/C121/C$142</f>
        <v>#DIV/0!</v>
      </c>
      <c r="D108" s="131"/>
      <c r="E108" s="130">
        <f t="shared" si="17"/>
        <v>1.6986457443227427E-3</v>
      </c>
      <c r="F108" s="130" t="e">
        <f t="shared" si="17"/>
        <v>#DIV/0!</v>
      </c>
      <c r="G108" s="130" t="e">
        <f t="shared" si="17"/>
        <v>#DIV/0!</v>
      </c>
      <c r="H108" s="131"/>
      <c r="I108" s="130">
        <f t="shared" si="17"/>
        <v>0</v>
      </c>
      <c r="J108" s="130" t="e">
        <f t="shared" si="17"/>
        <v>#DIV/0!</v>
      </c>
      <c r="K108" s="130" t="e">
        <f t="shared" si="17"/>
        <v>#DIV/0!</v>
      </c>
      <c r="L108" s="131"/>
      <c r="M108" s="130">
        <f t="shared" si="17"/>
        <v>0</v>
      </c>
      <c r="N108" s="130" t="e">
        <f t="shared" si="17"/>
        <v>#DIV/0!</v>
      </c>
      <c r="O108" s="130" t="e">
        <f t="shared" si="17"/>
        <v>#DIV/0!</v>
      </c>
      <c r="P108" s="131"/>
      <c r="Q108" s="130">
        <f t="shared" si="17"/>
        <v>0</v>
      </c>
      <c r="R108" s="130" t="e">
        <f t="shared" si="17"/>
        <v>#DIV/0!</v>
      </c>
      <c r="S108" s="130" t="e">
        <f t="shared" si="17"/>
        <v>#DIV/0!</v>
      </c>
      <c r="T108" s="131"/>
      <c r="U108" s="130">
        <f t="shared" si="17"/>
        <v>0</v>
      </c>
      <c r="V108" s="130">
        <f t="shared" si="17"/>
        <v>0</v>
      </c>
      <c r="W108" s="130">
        <f t="shared" si="17"/>
        <v>0</v>
      </c>
      <c r="X108" s="130" t="e">
        <f t="shared" si="17"/>
        <v>#DIV/0!</v>
      </c>
      <c r="Y108" s="130" t="e">
        <f t="shared" si="17"/>
        <v>#DIV/0!</v>
      </c>
      <c r="Z108" s="131"/>
      <c r="AA108" s="130">
        <f t="shared" si="17"/>
        <v>0</v>
      </c>
      <c r="AB108" s="130" t="e">
        <f t="shared" si="17"/>
        <v>#DIV/0!</v>
      </c>
      <c r="AC108" s="130" t="e">
        <f t="shared" si="17"/>
        <v>#DIV/0!</v>
      </c>
      <c r="AD108" s="131"/>
      <c r="AE108" s="130">
        <f t="shared" si="17"/>
        <v>6.3750276995555452E-2</v>
      </c>
      <c r="AF108" s="130" t="e">
        <f t="shared" si="17"/>
        <v>#DIV/0!</v>
      </c>
      <c r="AG108" s="130" t="e">
        <f t="shared" si="17"/>
        <v>#DIV/0!</v>
      </c>
      <c r="AH108" s="131"/>
      <c r="AI108" s="130">
        <f t="shared" si="17"/>
        <v>3.5772686206631339E-3</v>
      </c>
      <c r="AJ108" s="130" t="e">
        <f t="shared" si="17"/>
        <v>#DIV/0!</v>
      </c>
      <c r="AK108" s="130" t="e">
        <f t="shared" si="17"/>
        <v>#DIV/0!</v>
      </c>
      <c r="AL108" s="131"/>
      <c r="AM108" s="130">
        <f t="shared" si="17"/>
        <v>3.4416251862288798E-3</v>
      </c>
      <c r="AN108" s="130" t="e">
        <f t="shared" si="17"/>
        <v>#DIV/0!</v>
      </c>
      <c r="AO108" s="130" t="e">
        <f t="shared" si="17"/>
        <v>#DIV/0!</v>
      </c>
      <c r="AP108" s="131"/>
      <c r="AQ108" s="130">
        <f t="shared" si="17"/>
        <v>0</v>
      </c>
      <c r="AR108" s="130" t="e">
        <f t="shared" si="17"/>
        <v>#DIV/0!</v>
      </c>
      <c r="AS108" s="130" t="e">
        <f t="shared" si="17"/>
        <v>#DIV/0!</v>
      </c>
      <c r="AT108" s="130" t="e">
        <f t="shared" si="17"/>
        <v>#DIV/0!</v>
      </c>
      <c r="AU108" s="130" t="e">
        <f t="shared" si="17"/>
        <v>#DIV/0!</v>
      </c>
      <c r="AV108" s="130" t="e">
        <f t="shared" si="17"/>
        <v>#DIV/0!</v>
      </c>
      <c r="AW108" s="130" t="e">
        <f t="shared" si="17"/>
        <v>#DIV/0!</v>
      </c>
      <c r="AX108" s="130" t="e">
        <f t="shared" si="17"/>
        <v>#DIV/0!</v>
      </c>
      <c r="AY108" s="130" t="e">
        <f t="shared" si="17"/>
        <v>#DIV/0!</v>
      </c>
      <c r="AZ108" s="130" t="e">
        <f t="shared" si="17"/>
        <v>#DIV/0!</v>
      </c>
      <c r="BA108" s="130" t="e">
        <f t="shared" si="17"/>
        <v>#DIV/0!</v>
      </c>
      <c r="BB108" s="130" t="e">
        <f t="shared" si="17"/>
        <v>#DIV/0!</v>
      </c>
      <c r="BC108" s="130" t="e">
        <f t="shared" si="17"/>
        <v>#DIV/0!</v>
      </c>
      <c r="BD108" s="130" t="e">
        <f t="shared" si="17"/>
        <v>#DIV/0!</v>
      </c>
      <c r="BE108" s="130" t="e">
        <f t="shared" si="17"/>
        <v>#DIV/0!</v>
      </c>
      <c r="BF108" s="130" t="e">
        <f t="shared" si="17"/>
        <v>#DIV/0!</v>
      </c>
      <c r="BG108" s="130" t="e">
        <f t="shared" si="17"/>
        <v>#DIV/0!</v>
      </c>
      <c r="BH108" s="130" t="e">
        <f t="shared" si="17"/>
        <v>#DIV/0!</v>
      </c>
      <c r="BI108" s="130" t="e">
        <f t="shared" si="17"/>
        <v>#DIV/0!</v>
      </c>
      <c r="BJ108" s="130" t="e">
        <f t="shared" si="17"/>
        <v>#DIV/0!</v>
      </c>
      <c r="BK108" s="130" t="e">
        <f t="shared" si="17"/>
        <v>#DIV/0!</v>
      </c>
      <c r="BL108" s="130" t="e">
        <f t="shared" si="17"/>
        <v>#DIV/0!</v>
      </c>
      <c r="BM108" s="130" t="e">
        <f t="shared" si="17"/>
        <v>#DIV/0!</v>
      </c>
      <c r="BN108" s="130" t="e">
        <f t="shared" si="17"/>
        <v>#DIV/0!</v>
      </c>
      <c r="BO108" s="130" t="e">
        <f t="shared" ref="BO108:DN108" si="18">BO116/BO121/BO$142</f>
        <v>#DIV/0!</v>
      </c>
      <c r="BP108" s="130" t="e">
        <f t="shared" si="18"/>
        <v>#DIV/0!</v>
      </c>
      <c r="BQ108" s="130" t="e">
        <f t="shared" si="18"/>
        <v>#DIV/0!</v>
      </c>
      <c r="BR108" s="130" t="e">
        <f t="shared" si="18"/>
        <v>#DIV/0!</v>
      </c>
      <c r="BS108" s="130" t="e">
        <f t="shared" si="18"/>
        <v>#DIV/0!</v>
      </c>
      <c r="BT108" s="130" t="e">
        <f t="shared" si="18"/>
        <v>#DIV/0!</v>
      </c>
      <c r="BU108" s="130" t="e">
        <f t="shared" si="18"/>
        <v>#DIV/0!</v>
      </c>
      <c r="BV108" s="130" t="e">
        <f t="shared" si="18"/>
        <v>#DIV/0!</v>
      </c>
      <c r="BW108" s="130" t="e">
        <f t="shared" si="18"/>
        <v>#DIV/0!</v>
      </c>
      <c r="BX108" s="130" t="e">
        <f t="shared" si="18"/>
        <v>#DIV/0!</v>
      </c>
      <c r="BY108" s="130" t="e">
        <f t="shared" si="18"/>
        <v>#DIV/0!</v>
      </c>
      <c r="BZ108" s="130" t="e">
        <f t="shared" si="18"/>
        <v>#DIV/0!</v>
      </c>
      <c r="CA108" s="130" t="e">
        <f t="shared" si="18"/>
        <v>#DIV/0!</v>
      </c>
      <c r="CB108" s="130" t="e">
        <f t="shared" si="18"/>
        <v>#DIV/0!</v>
      </c>
      <c r="CC108" s="130" t="e">
        <f t="shared" si="18"/>
        <v>#DIV/0!</v>
      </c>
      <c r="CD108" s="130" t="e">
        <f t="shared" si="18"/>
        <v>#DIV/0!</v>
      </c>
      <c r="CE108" s="130" t="e">
        <f t="shared" si="18"/>
        <v>#DIV/0!</v>
      </c>
      <c r="CF108" s="130" t="e">
        <f t="shared" si="18"/>
        <v>#DIV/0!</v>
      </c>
      <c r="CG108" s="130" t="e">
        <f t="shared" si="18"/>
        <v>#DIV/0!</v>
      </c>
      <c r="CH108" s="130" t="e">
        <f t="shared" si="18"/>
        <v>#DIV/0!</v>
      </c>
      <c r="CI108" s="130" t="e">
        <f t="shared" si="18"/>
        <v>#DIV/0!</v>
      </c>
      <c r="CJ108" s="130" t="e">
        <f t="shared" si="18"/>
        <v>#DIV/0!</v>
      </c>
      <c r="CK108" s="130" t="e">
        <f t="shared" si="18"/>
        <v>#DIV/0!</v>
      </c>
      <c r="CL108" s="130" t="e">
        <f t="shared" si="18"/>
        <v>#DIV/0!</v>
      </c>
      <c r="CM108" s="130" t="e">
        <f t="shared" si="18"/>
        <v>#DIV/0!</v>
      </c>
      <c r="CN108" s="130" t="e">
        <f t="shared" si="18"/>
        <v>#DIV/0!</v>
      </c>
      <c r="CO108" s="130" t="e">
        <f t="shared" si="18"/>
        <v>#DIV/0!</v>
      </c>
      <c r="CP108" s="130" t="e">
        <f t="shared" si="18"/>
        <v>#DIV/0!</v>
      </c>
      <c r="CQ108" s="130" t="e">
        <f t="shared" si="18"/>
        <v>#DIV/0!</v>
      </c>
      <c r="CR108" s="130" t="e">
        <f t="shared" si="18"/>
        <v>#DIV/0!</v>
      </c>
      <c r="CS108" s="130" t="e">
        <f t="shared" si="18"/>
        <v>#DIV/0!</v>
      </c>
      <c r="CT108" s="130" t="e">
        <f t="shared" si="18"/>
        <v>#DIV/0!</v>
      </c>
      <c r="CU108" s="130" t="e">
        <f t="shared" si="18"/>
        <v>#DIV/0!</v>
      </c>
      <c r="CV108" s="130" t="e">
        <f t="shared" si="18"/>
        <v>#DIV/0!</v>
      </c>
      <c r="CW108" s="130" t="e">
        <f t="shared" si="18"/>
        <v>#DIV/0!</v>
      </c>
      <c r="CX108" s="130" t="e">
        <f t="shared" si="18"/>
        <v>#DIV/0!</v>
      </c>
      <c r="CY108" s="130" t="e">
        <f t="shared" si="18"/>
        <v>#DIV/0!</v>
      </c>
      <c r="CZ108" s="130" t="e">
        <f t="shared" si="18"/>
        <v>#DIV/0!</v>
      </c>
      <c r="DA108" s="130" t="e">
        <f t="shared" si="18"/>
        <v>#DIV/0!</v>
      </c>
      <c r="DB108" s="130" t="e">
        <f t="shared" si="18"/>
        <v>#DIV/0!</v>
      </c>
      <c r="DC108" s="130" t="e">
        <f t="shared" si="18"/>
        <v>#DIV/0!</v>
      </c>
      <c r="DD108" s="130" t="e">
        <f t="shared" si="18"/>
        <v>#DIV/0!</v>
      </c>
      <c r="DE108" s="130" t="e">
        <f t="shared" si="18"/>
        <v>#DIV/0!</v>
      </c>
      <c r="DF108" s="130" t="e">
        <f t="shared" si="18"/>
        <v>#DIV/0!</v>
      </c>
      <c r="DG108" s="130" t="e">
        <f t="shared" si="18"/>
        <v>#DIV/0!</v>
      </c>
      <c r="DH108" s="130" t="e">
        <f t="shared" si="18"/>
        <v>#DIV/0!</v>
      </c>
      <c r="DI108" s="130" t="e">
        <f t="shared" si="18"/>
        <v>#DIV/0!</v>
      </c>
      <c r="DJ108" s="130" t="e">
        <f t="shared" si="18"/>
        <v>#DIV/0!</v>
      </c>
      <c r="DK108" s="130" t="e">
        <f t="shared" si="18"/>
        <v>#DIV/0!</v>
      </c>
      <c r="DL108" s="130" t="e">
        <f t="shared" si="18"/>
        <v>#DIV/0!</v>
      </c>
      <c r="DM108" s="130" t="e">
        <f t="shared" si="18"/>
        <v>#DIV/0!</v>
      </c>
      <c r="DN108" s="130" t="e">
        <f t="shared" si="18"/>
        <v>#DIV/0!</v>
      </c>
    </row>
    <row r="109" spans="1:118" ht="12.75" customHeight="1" x14ac:dyDescent="0.2">
      <c r="B109" s="169" t="s">
        <v>288</v>
      </c>
      <c r="C109" s="130" t="e">
        <f t="shared" ref="C109:BN109" si="19">(C16+C17-C11)/C9</f>
        <v>#DIV/0!</v>
      </c>
      <c r="D109" s="131"/>
      <c r="E109" s="130">
        <f t="shared" si="19"/>
        <v>0.13827468078480223</v>
      </c>
      <c r="F109" s="130">
        <f t="shared" si="19"/>
        <v>0.21018276762402088</v>
      </c>
      <c r="G109" s="130" t="e">
        <f t="shared" si="19"/>
        <v>#DIV/0!</v>
      </c>
      <c r="H109" s="131"/>
      <c r="I109" s="130">
        <f t="shared" si="19"/>
        <v>0</v>
      </c>
      <c r="J109" s="130">
        <f t="shared" si="19"/>
        <v>0</v>
      </c>
      <c r="K109" s="130" t="e">
        <f t="shared" si="19"/>
        <v>#DIV/0!</v>
      </c>
      <c r="L109" s="131"/>
      <c r="M109" s="130">
        <f t="shared" si="19"/>
        <v>0</v>
      </c>
      <c r="N109" s="130">
        <f t="shared" si="19"/>
        <v>0</v>
      </c>
      <c r="O109" s="130" t="e">
        <f t="shared" si="19"/>
        <v>#DIV/0!</v>
      </c>
      <c r="P109" s="131"/>
      <c r="Q109" s="130">
        <f t="shared" si="19"/>
        <v>0.18065043498569511</v>
      </c>
      <c r="R109" s="130">
        <f t="shared" si="19"/>
        <v>0.16563578155596306</v>
      </c>
      <c r="S109" s="130" t="e">
        <f t="shared" si="19"/>
        <v>#DIV/0!</v>
      </c>
      <c r="T109" s="131"/>
      <c r="U109" s="130">
        <f t="shared" si="19"/>
        <v>0</v>
      </c>
      <c r="V109" s="130" t="e">
        <f t="shared" si="19"/>
        <v>#DIV/0!</v>
      </c>
      <c r="W109" s="130">
        <f t="shared" si="19"/>
        <v>0</v>
      </c>
      <c r="X109" s="130">
        <f t="shared" si="19"/>
        <v>0</v>
      </c>
      <c r="Y109" s="130" t="e">
        <f t="shared" si="19"/>
        <v>#DIV/0!</v>
      </c>
      <c r="Z109" s="131"/>
      <c r="AA109" s="130">
        <f t="shared" si="19"/>
        <v>0</v>
      </c>
      <c r="AB109" s="130">
        <f t="shared" si="19"/>
        <v>0</v>
      </c>
      <c r="AC109" s="130" t="e">
        <f t="shared" si="19"/>
        <v>#DIV/0!</v>
      </c>
      <c r="AD109" s="131"/>
      <c r="AE109" s="130">
        <f t="shared" si="19"/>
        <v>0.23387509932915607</v>
      </c>
      <c r="AF109" s="130">
        <f t="shared" si="19"/>
        <v>0.12262392003842788</v>
      </c>
      <c r="AG109" s="130" t="e">
        <f t="shared" si="19"/>
        <v>#DIV/0!</v>
      </c>
      <c r="AH109" s="131"/>
      <c r="AI109" s="130">
        <f t="shared" si="19"/>
        <v>0.23439436283786944</v>
      </c>
      <c r="AJ109" s="130" t="e">
        <f t="shared" si="19"/>
        <v>#DIV/0!</v>
      </c>
      <c r="AK109" s="130" t="e">
        <f t="shared" si="19"/>
        <v>#DIV/0!</v>
      </c>
      <c r="AL109" s="131"/>
      <c r="AM109" s="130">
        <f t="shared" si="19"/>
        <v>0.4448705656759348</v>
      </c>
      <c r="AN109" s="130">
        <f t="shared" si="19"/>
        <v>0.1156015037593985</v>
      </c>
      <c r="AO109" s="130" t="e">
        <f t="shared" si="19"/>
        <v>#DIV/0!</v>
      </c>
      <c r="AP109" s="131"/>
      <c r="AQ109" s="130">
        <f t="shared" si="19"/>
        <v>6.4327485380116955E-2</v>
      </c>
      <c r="AR109" s="130">
        <f t="shared" si="19"/>
        <v>3.342245989304813E-2</v>
      </c>
      <c r="AS109" s="130" t="e">
        <f t="shared" si="19"/>
        <v>#DIV/0!</v>
      </c>
      <c r="AT109" s="130" t="e">
        <f t="shared" si="19"/>
        <v>#DIV/0!</v>
      </c>
      <c r="AU109" s="130" t="e">
        <f t="shared" si="19"/>
        <v>#DIV/0!</v>
      </c>
      <c r="AV109" s="130" t="e">
        <f t="shared" si="19"/>
        <v>#DIV/0!</v>
      </c>
      <c r="AW109" s="130" t="e">
        <f t="shared" si="19"/>
        <v>#DIV/0!</v>
      </c>
      <c r="AX109" s="130" t="e">
        <f t="shared" si="19"/>
        <v>#DIV/0!</v>
      </c>
      <c r="AY109" s="130" t="e">
        <f t="shared" si="19"/>
        <v>#DIV/0!</v>
      </c>
      <c r="AZ109" s="130" t="e">
        <f t="shared" si="19"/>
        <v>#DIV/0!</v>
      </c>
      <c r="BA109" s="130" t="e">
        <f t="shared" si="19"/>
        <v>#DIV/0!</v>
      </c>
      <c r="BB109" s="130" t="e">
        <f t="shared" si="19"/>
        <v>#DIV/0!</v>
      </c>
      <c r="BC109" s="130" t="e">
        <f t="shared" si="19"/>
        <v>#DIV/0!</v>
      </c>
      <c r="BD109" s="130" t="e">
        <f t="shared" si="19"/>
        <v>#DIV/0!</v>
      </c>
      <c r="BE109" s="130" t="e">
        <f t="shared" si="19"/>
        <v>#DIV/0!</v>
      </c>
      <c r="BF109" s="130" t="e">
        <f t="shared" si="19"/>
        <v>#DIV/0!</v>
      </c>
      <c r="BG109" s="130" t="e">
        <f t="shared" si="19"/>
        <v>#DIV/0!</v>
      </c>
      <c r="BH109" s="130" t="e">
        <f t="shared" si="19"/>
        <v>#DIV/0!</v>
      </c>
      <c r="BI109" s="130" t="e">
        <f t="shared" si="19"/>
        <v>#DIV/0!</v>
      </c>
      <c r="BJ109" s="130" t="e">
        <f t="shared" si="19"/>
        <v>#DIV/0!</v>
      </c>
      <c r="BK109" s="130" t="e">
        <f t="shared" si="19"/>
        <v>#DIV/0!</v>
      </c>
      <c r="BL109" s="130" t="e">
        <f t="shared" si="19"/>
        <v>#DIV/0!</v>
      </c>
      <c r="BM109" s="130" t="e">
        <f t="shared" si="19"/>
        <v>#DIV/0!</v>
      </c>
      <c r="BN109" s="130" t="e">
        <f t="shared" si="19"/>
        <v>#DIV/0!</v>
      </c>
      <c r="BO109" s="130" t="e">
        <f t="shared" ref="BO109:DN109" si="20">(BO16+BO17-BO11)/BO9</f>
        <v>#DIV/0!</v>
      </c>
      <c r="BP109" s="130" t="e">
        <f t="shared" si="20"/>
        <v>#DIV/0!</v>
      </c>
      <c r="BQ109" s="130" t="e">
        <f t="shared" si="20"/>
        <v>#DIV/0!</v>
      </c>
      <c r="BR109" s="130" t="e">
        <f t="shared" si="20"/>
        <v>#DIV/0!</v>
      </c>
      <c r="BS109" s="130" t="e">
        <f t="shared" si="20"/>
        <v>#DIV/0!</v>
      </c>
      <c r="BT109" s="130" t="e">
        <f t="shared" si="20"/>
        <v>#DIV/0!</v>
      </c>
      <c r="BU109" s="130" t="e">
        <f t="shared" si="20"/>
        <v>#DIV/0!</v>
      </c>
      <c r="BV109" s="130" t="e">
        <f t="shared" si="20"/>
        <v>#DIV/0!</v>
      </c>
      <c r="BW109" s="130" t="e">
        <f t="shared" si="20"/>
        <v>#DIV/0!</v>
      </c>
      <c r="BX109" s="130" t="e">
        <f t="shared" si="20"/>
        <v>#DIV/0!</v>
      </c>
      <c r="BY109" s="130" t="e">
        <f t="shared" si="20"/>
        <v>#DIV/0!</v>
      </c>
      <c r="BZ109" s="130" t="e">
        <f t="shared" si="20"/>
        <v>#DIV/0!</v>
      </c>
      <c r="CA109" s="130" t="e">
        <f t="shared" si="20"/>
        <v>#DIV/0!</v>
      </c>
      <c r="CB109" s="130" t="e">
        <f t="shared" si="20"/>
        <v>#DIV/0!</v>
      </c>
      <c r="CC109" s="130" t="e">
        <f t="shared" si="20"/>
        <v>#DIV/0!</v>
      </c>
      <c r="CD109" s="130" t="e">
        <f t="shared" si="20"/>
        <v>#DIV/0!</v>
      </c>
      <c r="CE109" s="130" t="e">
        <f t="shared" si="20"/>
        <v>#DIV/0!</v>
      </c>
      <c r="CF109" s="130" t="e">
        <f t="shared" si="20"/>
        <v>#DIV/0!</v>
      </c>
      <c r="CG109" s="130" t="e">
        <f t="shared" si="20"/>
        <v>#DIV/0!</v>
      </c>
      <c r="CH109" s="130" t="e">
        <f t="shared" si="20"/>
        <v>#DIV/0!</v>
      </c>
      <c r="CI109" s="130" t="e">
        <f t="shared" si="20"/>
        <v>#DIV/0!</v>
      </c>
      <c r="CJ109" s="130" t="e">
        <f t="shared" si="20"/>
        <v>#DIV/0!</v>
      </c>
      <c r="CK109" s="130" t="e">
        <f t="shared" si="20"/>
        <v>#DIV/0!</v>
      </c>
      <c r="CL109" s="130" t="e">
        <f t="shared" si="20"/>
        <v>#DIV/0!</v>
      </c>
      <c r="CM109" s="130" t="e">
        <f t="shared" si="20"/>
        <v>#DIV/0!</v>
      </c>
      <c r="CN109" s="130" t="e">
        <f t="shared" si="20"/>
        <v>#DIV/0!</v>
      </c>
      <c r="CO109" s="130" t="e">
        <f t="shared" si="20"/>
        <v>#DIV/0!</v>
      </c>
      <c r="CP109" s="130" t="e">
        <f t="shared" si="20"/>
        <v>#DIV/0!</v>
      </c>
      <c r="CQ109" s="130" t="e">
        <f t="shared" si="20"/>
        <v>#DIV/0!</v>
      </c>
      <c r="CR109" s="130" t="e">
        <f t="shared" si="20"/>
        <v>#DIV/0!</v>
      </c>
      <c r="CS109" s="130" t="e">
        <f t="shared" si="20"/>
        <v>#DIV/0!</v>
      </c>
      <c r="CT109" s="130" t="e">
        <f t="shared" si="20"/>
        <v>#DIV/0!</v>
      </c>
      <c r="CU109" s="130" t="e">
        <f t="shared" si="20"/>
        <v>#DIV/0!</v>
      </c>
      <c r="CV109" s="130" t="e">
        <f t="shared" si="20"/>
        <v>#DIV/0!</v>
      </c>
      <c r="CW109" s="130" t="e">
        <f t="shared" si="20"/>
        <v>#DIV/0!</v>
      </c>
      <c r="CX109" s="130" t="e">
        <f t="shared" si="20"/>
        <v>#DIV/0!</v>
      </c>
      <c r="CY109" s="130" t="e">
        <f t="shared" si="20"/>
        <v>#DIV/0!</v>
      </c>
      <c r="CZ109" s="130" t="e">
        <f t="shared" si="20"/>
        <v>#DIV/0!</v>
      </c>
      <c r="DA109" s="130" t="e">
        <f t="shared" si="20"/>
        <v>#DIV/0!</v>
      </c>
      <c r="DB109" s="130" t="e">
        <f t="shared" si="20"/>
        <v>#DIV/0!</v>
      </c>
      <c r="DC109" s="130" t="e">
        <f t="shared" si="20"/>
        <v>#DIV/0!</v>
      </c>
      <c r="DD109" s="130" t="e">
        <f t="shared" si="20"/>
        <v>#DIV/0!</v>
      </c>
      <c r="DE109" s="130" t="e">
        <f t="shared" si="20"/>
        <v>#DIV/0!</v>
      </c>
      <c r="DF109" s="130" t="e">
        <f t="shared" si="20"/>
        <v>#DIV/0!</v>
      </c>
      <c r="DG109" s="130" t="e">
        <f t="shared" si="20"/>
        <v>#DIV/0!</v>
      </c>
      <c r="DH109" s="130" t="e">
        <f t="shared" si="20"/>
        <v>#DIV/0!</v>
      </c>
      <c r="DI109" s="130" t="e">
        <f t="shared" si="20"/>
        <v>#DIV/0!</v>
      </c>
      <c r="DJ109" s="130" t="e">
        <f t="shared" si="20"/>
        <v>#DIV/0!</v>
      </c>
      <c r="DK109" s="130" t="e">
        <f t="shared" si="20"/>
        <v>#DIV/0!</v>
      </c>
      <c r="DL109" s="130" t="e">
        <f t="shared" si="20"/>
        <v>#DIV/0!</v>
      </c>
      <c r="DM109" s="130" t="e">
        <f t="shared" si="20"/>
        <v>#DIV/0!</v>
      </c>
      <c r="DN109" s="130" t="e">
        <f t="shared" si="20"/>
        <v>#DIV/0!</v>
      </c>
    </row>
    <row r="110" spans="1:118" ht="12.75" customHeight="1" x14ac:dyDescent="0.2">
      <c r="A110" s="85"/>
      <c r="B110" s="85"/>
      <c r="C110" s="91"/>
      <c r="D110" s="92"/>
      <c r="E110" s="85"/>
      <c r="F110" s="85"/>
      <c r="G110" s="91"/>
      <c r="H110" s="92"/>
      <c r="I110" s="85"/>
      <c r="J110" s="85"/>
      <c r="K110" s="91"/>
      <c r="L110" s="92"/>
      <c r="M110" s="85"/>
      <c r="N110" s="85"/>
      <c r="O110" s="91"/>
      <c r="P110" s="92"/>
      <c r="Q110" s="85"/>
      <c r="R110" s="85"/>
      <c r="S110" s="91"/>
      <c r="T110" s="92"/>
      <c r="U110" s="85"/>
      <c r="V110" s="85"/>
      <c r="W110" s="85"/>
      <c r="X110" s="85"/>
      <c r="Y110" s="91"/>
      <c r="Z110" s="92"/>
      <c r="AA110" s="85"/>
      <c r="AB110" s="85"/>
      <c r="AC110" s="91"/>
      <c r="AD110" s="92"/>
      <c r="AE110" s="85"/>
      <c r="AF110" s="85"/>
      <c r="AG110" s="91"/>
      <c r="AH110" s="92"/>
      <c r="AI110" s="85"/>
      <c r="AJ110" s="85"/>
      <c r="AK110" s="91"/>
      <c r="AL110" s="92"/>
      <c r="AM110" s="85"/>
      <c r="AN110" s="85"/>
      <c r="AO110" s="91"/>
      <c r="AP110" s="92"/>
      <c r="AQ110" s="85"/>
      <c r="AR110" s="85"/>
      <c r="AS110" s="85"/>
    </row>
    <row r="111" spans="1:118" ht="12.75" customHeight="1" x14ac:dyDescent="0.2">
      <c r="A111" s="148" t="s">
        <v>289</v>
      </c>
      <c r="B111" s="148"/>
      <c r="C111" s="91"/>
      <c r="D111" s="92"/>
      <c r="E111" s="85"/>
      <c r="F111" s="85"/>
      <c r="G111" s="91"/>
      <c r="H111" s="92"/>
      <c r="I111" s="85"/>
      <c r="J111" s="85"/>
      <c r="K111" s="91"/>
      <c r="L111" s="92"/>
      <c r="M111" s="85"/>
      <c r="N111" s="85"/>
      <c r="O111" s="91"/>
      <c r="P111" s="92"/>
      <c r="Q111" s="85"/>
      <c r="R111" s="85"/>
      <c r="S111" s="91"/>
      <c r="T111" s="92"/>
      <c r="U111" s="85"/>
      <c r="V111" s="85"/>
      <c r="W111" s="85"/>
      <c r="X111" s="85"/>
      <c r="Y111" s="91"/>
      <c r="Z111" s="92"/>
      <c r="AA111" s="85"/>
      <c r="AB111" s="85"/>
      <c r="AC111" s="91"/>
      <c r="AD111" s="92"/>
      <c r="AE111" s="85"/>
      <c r="AF111" s="85"/>
      <c r="AG111" s="91"/>
      <c r="AH111" s="92"/>
      <c r="AI111" s="85"/>
      <c r="AJ111" s="85"/>
      <c r="AK111" s="91"/>
      <c r="AL111" s="92"/>
      <c r="AM111" s="85"/>
      <c r="AN111" s="85"/>
      <c r="AO111" s="91"/>
      <c r="AP111" s="92"/>
      <c r="AQ111" s="85"/>
      <c r="AR111" s="85"/>
      <c r="AS111" s="85"/>
    </row>
    <row r="112" spans="1:118" ht="12.75" customHeight="1" x14ac:dyDescent="0.2">
      <c r="B112" s="5" t="s">
        <v>290</v>
      </c>
      <c r="C112" s="111" t="e">
        <f>SUM(C9)/C$142</f>
        <v>#DIV/0!</v>
      </c>
      <c r="D112" s="108"/>
      <c r="E112" s="111">
        <f>SUM(E9)/E$142</f>
        <v>3211</v>
      </c>
      <c r="F112" s="111" t="e">
        <f>SUM(F9)/F$142</f>
        <v>#DIV/0!</v>
      </c>
      <c r="G112" s="111" t="e">
        <f>SUM(G9)/G$142</f>
        <v>#DIV/0!</v>
      </c>
      <c r="H112" s="108"/>
      <c r="I112" s="111">
        <f>SUM(I9)/I$142</f>
        <v>-303.834</v>
      </c>
      <c r="J112" s="111" t="e">
        <f>SUM(J9)/J$142</f>
        <v>#DIV/0!</v>
      </c>
      <c r="K112" s="111" t="e">
        <f>SUM(K9)/K$142</f>
        <v>#DIV/0!</v>
      </c>
      <c r="L112" s="108"/>
      <c r="M112" s="111">
        <f>SUM(M9)/M$142</f>
        <v>-28.870999999999995</v>
      </c>
      <c r="N112" s="111" t="e">
        <f>SUM(N9)/N$142</f>
        <v>#DIV/0!</v>
      </c>
      <c r="O112" s="111" t="e">
        <f>SUM(O9)/O$142</f>
        <v>#DIV/0!</v>
      </c>
      <c r="P112" s="108"/>
      <c r="Q112" s="111">
        <f>SUM(Q9)/Q$142</f>
        <v>68508</v>
      </c>
      <c r="R112" s="111" t="e">
        <f>SUM(R9)/R$142</f>
        <v>#DIV/0!</v>
      </c>
      <c r="S112" s="111" t="e">
        <f>SUM(S9)/S$142</f>
        <v>#DIV/0!</v>
      </c>
      <c r="T112" s="108"/>
      <c r="U112" s="111">
        <f>SUM(U9)/U$142</f>
        <v>-10.14705882352942</v>
      </c>
      <c r="V112" s="111">
        <f>SUM(V9)/V$142</f>
        <v>0</v>
      </c>
      <c r="W112" s="111">
        <f>SUM(W9)/W$142</f>
        <v>-152</v>
      </c>
      <c r="X112" s="111" t="e">
        <f>SUM(X9)/X$142</f>
        <v>#DIV/0!</v>
      </c>
      <c r="Y112" s="111" t="e">
        <f>SUM(Y9)/Y$142</f>
        <v>#DIV/0!</v>
      </c>
      <c r="Z112" s="108"/>
      <c r="AA112" s="111">
        <f>SUM(AA9)/AA$142</f>
        <v>1570.4109999999996</v>
      </c>
      <c r="AB112" s="111" t="e">
        <f>SUM(AB9)/AB$142</f>
        <v>#DIV/0!</v>
      </c>
      <c r="AC112" s="111" t="e">
        <f>SUM(AC9)/AC$142</f>
        <v>#DIV/0!</v>
      </c>
      <c r="AD112" s="108"/>
      <c r="AE112" s="111">
        <f>SUM(AE9)/AE$142</f>
        <v>10513.026</v>
      </c>
      <c r="AF112" s="111" t="e">
        <f>SUM(AF9)/AF$142</f>
        <v>#DIV/0!</v>
      </c>
      <c r="AG112" s="111" t="e">
        <f>SUM(AG9)/AG$142</f>
        <v>#DIV/0!</v>
      </c>
      <c r="AH112" s="108"/>
      <c r="AI112" s="111">
        <f>SUM(AI9)/AI$142</f>
        <v>1350.0409999999997</v>
      </c>
      <c r="AJ112" s="111" t="e">
        <f>SUM(AJ9)/AJ$142</f>
        <v>#DIV/0!</v>
      </c>
      <c r="AK112" s="111" t="e">
        <f>SUM(AK9)/AK$142</f>
        <v>#DIV/0!</v>
      </c>
      <c r="AL112" s="108"/>
      <c r="AM112" s="111">
        <f>SUM(AM9)/AM$142</f>
        <v>1043</v>
      </c>
      <c r="AN112" s="111" t="e">
        <f>SUM(AN9)/AN$142</f>
        <v>#DIV/0!</v>
      </c>
      <c r="AO112" s="111" t="e">
        <f>SUM(AO9)/AO$142</f>
        <v>#DIV/0!</v>
      </c>
      <c r="AP112" s="108"/>
      <c r="AQ112" s="111">
        <f t="shared" ref="AQ112:BV112" si="21">SUM(AQ9)/AQ$142</f>
        <v>1026</v>
      </c>
      <c r="AR112" s="111" t="e">
        <f t="shared" si="21"/>
        <v>#DIV/0!</v>
      </c>
      <c r="AS112" s="111" t="e">
        <f t="shared" si="21"/>
        <v>#DIV/0!</v>
      </c>
      <c r="AT112" s="111" t="e">
        <f t="shared" si="21"/>
        <v>#DIV/0!</v>
      </c>
      <c r="AU112" s="111" t="e">
        <f t="shared" si="21"/>
        <v>#DIV/0!</v>
      </c>
      <c r="AV112" s="111" t="e">
        <f t="shared" si="21"/>
        <v>#DIV/0!</v>
      </c>
      <c r="AW112" s="111" t="e">
        <f t="shared" si="21"/>
        <v>#DIV/0!</v>
      </c>
      <c r="AX112" s="111" t="e">
        <f t="shared" si="21"/>
        <v>#DIV/0!</v>
      </c>
      <c r="AY112" s="111" t="e">
        <f t="shared" si="21"/>
        <v>#DIV/0!</v>
      </c>
      <c r="AZ112" s="111" t="e">
        <f t="shared" si="21"/>
        <v>#DIV/0!</v>
      </c>
      <c r="BA112" s="111" t="e">
        <f t="shared" si="21"/>
        <v>#DIV/0!</v>
      </c>
      <c r="BB112" s="111" t="e">
        <f t="shared" si="21"/>
        <v>#DIV/0!</v>
      </c>
      <c r="BC112" s="111" t="e">
        <f t="shared" si="21"/>
        <v>#DIV/0!</v>
      </c>
      <c r="BD112" s="111" t="e">
        <f t="shared" si="21"/>
        <v>#DIV/0!</v>
      </c>
      <c r="BE112" s="111" t="e">
        <f t="shared" si="21"/>
        <v>#DIV/0!</v>
      </c>
      <c r="BF112" s="111" t="e">
        <f t="shared" si="21"/>
        <v>#DIV/0!</v>
      </c>
      <c r="BG112" s="111" t="e">
        <f t="shared" si="21"/>
        <v>#DIV/0!</v>
      </c>
      <c r="BH112" s="111" t="e">
        <f t="shared" si="21"/>
        <v>#DIV/0!</v>
      </c>
      <c r="BI112" s="111" t="e">
        <f t="shared" si="21"/>
        <v>#DIV/0!</v>
      </c>
      <c r="BJ112" s="111" t="e">
        <f t="shared" si="21"/>
        <v>#DIV/0!</v>
      </c>
      <c r="BK112" s="111" t="e">
        <f t="shared" si="21"/>
        <v>#DIV/0!</v>
      </c>
      <c r="BL112" s="111" t="e">
        <f t="shared" si="21"/>
        <v>#DIV/0!</v>
      </c>
      <c r="BM112" s="111" t="e">
        <f t="shared" si="21"/>
        <v>#DIV/0!</v>
      </c>
      <c r="BN112" s="111" t="e">
        <f t="shared" si="21"/>
        <v>#DIV/0!</v>
      </c>
      <c r="BO112" s="111" t="e">
        <f t="shared" si="21"/>
        <v>#DIV/0!</v>
      </c>
      <c r="BP112" s="111" t="e">
        <f t="shared" si="21"/>
        <v>#DIV/0!</v>
      </c>
      <c r="BQ112" s="111" t="e">
        <f t="shared" si="21"/>
        <v>#DIV/0!</v>
      </c>
      <c r="BR112" s="111" t="e">
        <f t="shared" si="21"/>
        <v>#DIV/0!</v>
      </c>
      <c r="BS112" s="111" t="e">
        <f t="shared" si="21"/>
        <v>#DIV/0!</v>
      </c>
      <c r="BT112" s="111" t="e">
        <f t="shared" si="21"/>
        <v>#DIV/0!</v>
      </c>
      <c r="BU112" s="111" t="e">
        <f t="shared" si="21"/>
        <v>#DIV/0!</v>
      </c>
      <c r="BV112" s="111" t="e">
        <f t="shared" si="21"/>
        <v>#DIV/0!</v>
      </c>
      <c r="BW112" s="111" t="e">
        <f t="shared" ref="BW112:DB112" si="22">SUM(BW9)/BW$142</f>
        <v>#DIV/0!</v>
      </c>
      <c r="BX112" s="111" t="e">
        <f t="shared" si="22"/>
        <v>#DIV/0!</v>
      </c>
      <c r="BY112" s="111" t="e">
        <f t="shared" si="22"/>
        <v>#DIV/0!</v>
      </c>
      <c r="BZ112" s="111" t="e">
        <f t="shared" si="22"/>
        <v>#DIV/0!</v>
      </c>
      <c r="CA112" s="111" t="e">
        <f t="shared" si="22"/>
        <v>#DIV/0!</v>
      </c>
      <c r="CB112" s="111" t="e">
        <f t="shared" si="22"/>
        <v>#DIV/0!</v>
      </c>
      <c r="CC112" s="111" t="e">
        <f t="shared" si="22"/>
        <v>#DIV/0!</v>
      </c>
      <c r="CD112" s="111" t="e">
        <f t="shared" si="22"/>
        <v>#DIV/0!</v>
      </c>
      <c r="CE112" s="111" t="e">
        <f t="shared" si="22"/>
        <v>#DIV/0!</v>
      </c>
      <c r="CF112" s="111" t="e">
        <f t="shared" si="22"/>
        <v>#DIV/0!</v>
      </c>
      <c r="CG112" s="111" t="e">
        <f t="shared" si="22"/>
        <v>#DIV/0!</v>
      </c>
      <c r="CH112" s="111" t="e">
        <f t="shared" si="22"/>
        <v>#DIV/0!</v>
      </c>
      <c r="CI112" s="111" t="e">
        <f t="shared" si="22"/>
        <v>#DIV/0!</v>
      </c>
      <c r="CJ112" s="111" t="e">
        <f t="shared" si="22"/>
        <v>#DIV/0!</v>
      </c>
      <c r="CK112" s="111" t="e">
        <f t="shared" si="22"/>
        <v>#DIV/0!</v>
      </c>
      <c r="CL112" s="111" t="e">
        <f t="shared" si="22"/>
        <v>#DIV/0!</v>
      </c>
      <c r="CM112" s="111" t="e">
        <f t="shared" si="22"/>
        <v>#DIV/0!</v>
      </c>
      <c r="CN112" s="111" t="e">
        <f t="shared" si="22"/>
        <v>#DIV/0!</v>
      </c>
      <c r="CO112" s="111" t="e">
        <f t="shared" si="22"/>
        <v>#DIV/0!</v>
      </c>
      <c r="CP112" s="111" t="e">
        <f t="shared" si="22"/>
        <v>#DIV/0!</v>
      </c>
      <c r="CQ112" s="111" t="e">
        <f t="shared" si="22"/>
        <v>#DIV/0!</v>
      </c>
      <c r="CR112" s="111" t="e">
        <f t="shared" si="22"/>
        <v>#DIV/0!</v>
      </c>
      <c r="CS112" s="111" t="e">
        <f t="shared" si="22"/>
        <v>#DIV/0!</v>
      </c>
      <c r="CT112" s="111" t="e">
        <f t="shared" si="22"/>
        <v>#DIV/0!</v>
      </c>
      <c r="CU112" s="111" t="e">
        <f t="shared" si="22"/>
        <v>#DIV/0!</v>
      </c>
      <c r="CV112" s="111" t="e">
        <f t="shared" si="22"/>
        <v>#DIV/0!</v>
      </c>
      <c r="CW112" s="111" t="e">
        <f t="shared" si="22"/>
        <v>#DIV/0!</v>
      </c>
      <c r="CX112" s="111" t="e">
        <f t="shared" si="22"/>
        <v>#DIV/0!</v>
      </c>
      <c r="CY112" s="111" t="e">
        <f t="shared" si="22"/>
        <v>#DIV/0!</v>
      </c>
      <c r="CZ112" s="111" t="e">
        <f t="shared" si="22"/>
        <v>#DIV/0!</v>
      </c>
      <c r="DA112" s="111" t="e">
        <f t="shared" si="22"/>
        <v>#DIV/0!</v>
      </c>
      <c r="DB112" s="111" t="e">
        <f t="shared" si="22"/>
        <v>#DIV/0!</v>
      </c>
      <c r="DC112" s="111" t="e">
        <f t="shared" ref="DC112:DN112" si="23">SUM(DC9)/DC$142</f>
        <v>#DIV/0!</v>
      </c>
      <c r="DD112" s="111" t="e">
        <f t="shared" si="23"/>
        <v>#DIV/0!</v>
      </c>
      <c r="DE112" s="111" t="e">
        <f t="shared" si="23"/>
        <v>#DIV/0!</v>
      </c>
      <c r="DF112" s="111" t="e">
        <f t="shared" si="23"/>
        <v>#DIV/0!</v>
      </c>
      <c r="DG112" s="111" t="e">
        <f t="shared" si="23"/>
        <v>#DIV/0!</v>
      </c>
      <c r="DH112" s="111" t="e">
        <f t="shared" si="23"/>
        <v>#DIV/0!</v>
      </c>
      <c r="DI112" s="111" t="e">
        <f t="shared" si="23"/>
        <v>#DIV/0!</v>
      </c>
      <c r="DJ112" s="111" t="e">
        <f t="shared" si="23"/>
        <v>#DIV/0!</v>
      </c>
      <c r="DK112" s="111" t="e">
        <f t="shared" si="23"/>
        <v>#DIV/0!</v>
      </c>
      <c r="DL112" s="111" t="e">
        <f t="shared" si="23"/>
        <v>#DIV/0!</v>
      </c>
      <c r="DM112" s="111" t="e">
        <f t="shared" si="23"/>
        <v>#DIV/0!</v>
      </c>
      <c r="DN112" s="111" t="e">
        <f t="shared" si="23"/>
        <v>#DIV/0!</v>
      </c>
    </row>
    <row r="113" spans="1:118" ht="12.75" customHeight="1" x14ac:dyDescent="0.2">
      <c r="B113" s="5" t="s">
        <v>6</v>
      </c>
      <c r="E113" s="111">
        <f>SUM(E14)/E142</f>
        <v>2134</v>
      </c>
      <c r="F113" s="111"/>
      <c r="I113" s="111">
        <f>SUM(I14)/I142</f>
        <v>1378.1</v>
      </c>
      <c r="J113" s="111"/>
      <c r="M113" s="111">
        <f>SUM(M14)/M142</f>
        <v>239.47900000000001</v>
      </c>
      <c r="N113" s="111"/>
      <c r="Q113" s="111">
        <f>SUM(Q14)/Q142</f>
        <v>57744</v>
      </c>
      <c r="R113" s="111"/>
      <c r="U113" s="111">
        <f>SUM(U14)/U142</f>
        <v>0</v>
      </c>
      <c r="V113" s="111">
        <f>SUM(V14)/V142</f>
        <v>0</v>
      </c>
      <c r="W113" s="111">
        <f>SUM(W14)/W142</f>
        <v>21251.200000000001</v>
      </c>
      <c r="X113" s="111"/>
      <c r="AA113" s="111">
        <f>SUM(AA14)/AA142</f>
        <v>1216.6990000000001</v>
      </c>
      <c r="AB113" s="111"/>
      <c r="AE113" s="111">
        <f>SUM(AE14)/AE142</f>
        <v>7248.4160000000002</v>
      </c>
      <c r="AF113" s="111"/>
      <c r="AI113" s="111">
        <f>SUM(AI14)/AI142</f>
        <v>209.702</v>
      </c>
      <c r="AJ113" s="111"/>
      <c r="AM113" s="111">
        <f>SUM(AM14)/AM142</f>
        <v>173476</v>
      </c>
      <c r="AN113" s="111"/>
      <c r="AQ113" s="111">
        <f>SUM(AQ14)/AQ142</f>
        <v>75</v>
      </c>
      <c r="AR113" s="111"/>
    </row>
    <row r="114" spans="1:118" ht="12.75" customHeight="1" x14ac:dyDescent="0.2">
      <c r="B114" s="5" t="s">
        <v>291</v>
      </c>
      <c r="E114" s="111">
        <f>SUM(E24)/E142</f>
        <v>2402</v>
      </c>
      <c r="F114" s="111"/>
      <c r="I114" s="111">
        <f>SUM(I24)/I142</f>
        <v>-141.23900000000026</v>
      </c>
      <c r="J114" s="111"/>
      <c r="M114" s="111">
        <f>SUM(M24)/M142</f>
        <v>89.314999999999984</v>
      </c>
      <c r="N114" s="111"/>
      <c r="Q114" s="111">
        <f>SUM(Q24)/Q142</f>
        <v>43927</v>
      </c>
      <c r="R114" s="111"/>
      <c r="U114" s="111">
        <f>SUM(U24)/U142</f>
        <v>-1080.4058823529413</v>
      </c>
      <c r="V114" s="111">
        <f>SUM(V24)/V142</f>
        <v>0</v>
      </c>
      <c r="W114" s="111">
        <f>SUM(W24)/W142</f>
        <v>2612.8000000000002</v>
      </c>
      <c r="X114" s="111"/>
      <c r="AA114" s="111">
        <f>SUM(AA24)/AA142</f>
        <v>867.35499999999979</v>
      </c>
      <c r="AB114" s="111"/>
      <c r="AE114" s="111">
        <f>SUM(AE24)/AE142</f>
        <v>1882.8279999999991</v>
      </c>
      <c r="AF114" s="111"/>
      <c r="AI114" s="111">
        <f>SUM(AI24)/AI142</f>
        <v>382.52199999999965</v>
      </c>
      <c r="AJ114" s="111"/>
      <c r="AM114" s="111">
        <f>SUM(AM24)/AM142</f>
        <v>14358</v>
      </c>
      <c r="AN114" s="111"/>
      <c r="AQ114" s="111">
        <f>SUM(AQ24)/AQ142</f>
        <v>36</v>
      </c>
      <c r="AR114" s="111"/>
    </row>
    <row r="115" spans="1:118" ht="12.75" customHeight="1" x14ac:dyDescent="0.2">
      <c r="A115" s="74"/>
      <c r="B115" s="5" t="s">
        <v>292</v>
      </c>
      <c r="E115" s="55">
        <f>(E16+E17-E11)/E142</f>
        <v>444</v>
      </c>
      <c r="F115" s="120"/>
      <c r="I115" s="55">
        <f>(I16+I17-I11)/I142</f>
        <v>0</v>
      </c>
      <c r="J115" s="120"/>
      <c r="M115" s="55">
        <f>(M16+M17-M11)/M142</f>
        <v>0</v>
      </c>
      <c r="N115" s="120"/>
      <c r="Q115" s="55">
        <f>(Q16+Q17-Q11)/Q142</f>
        <v>12376</v>
      </c>
      <c r="R115" s="120"/>
      <c r="U115" s="55">
        <f>(U16+U17-U11)/U142</f>
        <v>0</v>
      </c>
      <c r="V115" s="55">
        <f>(V16+V17-V11)/V142</f>
        <v>0</v>
      </c>
      <c r="W115" s="55">
        <f>(W16+W17-W11)/W142</f>
        <v>0</v>
      </c>
      <c r="X115" s="120"/>
      <c r="AA115" s="55">
        <f>(AA16+AA17-AA11)/AA142</f>
        <v>0</v>
      </c>
      <c r="AB115" s="120"/>
      <c r="AE115" s="55">
        <f>(AE16+AE17-AE11)/AE142</f>
        <v>2458.7350000000001</v>
      </c>
      <c r="AF115" s="120"/>
      <c r="AI115" s="55">
        <f>(AI16+AI17-AI11)/AI142</f>
        <v>316.44200000000001</v>
      </c>
      <c r="AJ115" s="120"/>
      <c r="AM115" s="55">
        <f>(AM16+AM17-AM11)/AM142</f>
        <v>464</v>
      </c>
      <c r="AN115" s="120"/>
      <c r="AQ115" s="55">
        <f>(AQ16+AQ17-AQ11)/AQ142</f>
        <v>66</v>
      </c>
      <c r="AR115" s="120"/>
      <c r="CY115" s="2" t="e">
        <f>(CY16+CY17-CY11)/CY142</f>
        <v>#DIV/0!</v>
      </c>
    </row>
    <row r="116" spans="1:118" ht="12.75" customHeight="1" x14ac:dyDescent="0.2">
      <c r="B116" s="5" t="s">
        <v>293</v>
      </c>
      <c r="E116" s="171">
        <f>(E17-E11)/E142</f>
        <v>164</v>
      </c>
      <c r="F116" s="150"/>
      <c r="I116" s="171">
        <f>(I17-I11)/I142</f>
        <v>0</v>
      </c>
      <c r="J116" s="150"/>
      <c r="M116" s="171">
        <f>(M17-M11)/M142</f>
        <v>0</v>
      </c>
      <c r="N116" s="150"/>
      <c r="Q116" s="171">
        <f>(Q17-Q11)/Q142</f>
        <v>0</v>
      </c>
      <c r="R116" s="150"/>
      <c r="U116" s="171">
        <f>(U17-U11)/U142</f>
        <v>0</v>
      </c>
      <c r="V116" s="171">
        <f>(V17-V11)/V142</f>
        <v>0</v>
      </c>
      <c r="W116" s="171">
        <f>(W17-W11)/W142</f>
        <v>0</v>
      </c>
      <c r="X116" s="150"/>
      <c r="AA116" s="171">
        <f>(AA17-AA11)/AA142</f>
        <v>0</v>
      </c>
      <c r="AB116" s="150"/>
      <c r="AE116" s="171">
        <f>(AE17-AE11)/AE142</f>
        <v>2270.277</v>
      </c>
      <c r="AF116" s="150"/>
      <c r="AI116" s="171">
        <f>(AI17-AI11)/AI142</f>
        <v>53.442</v>
      </c>
      <c r="AJ116" s="150"/>
      <c r="AM116" s="171">
        <f>(AM17-AM11)/AM142</f>
        <v>149</v>
      </c>
      <c r="AN116" s="150"/>
      <c r="AQ116" s="171">
        <f>(AQ17-AQ11)/AQ142</f>
        <v>0</v>
      </c>
      <c r="AR116" s="150"/>
    </row>
    <row r="117" spans="1:118" ht="12.75" customHeight="1" x14ac:dyDescent="0.2">
      <c r="A117" s="85"/>
      <c r="B117" s="85" t="s">
        <v>294</v>
      </c>
      <c r="C117" s="111" t="e">
        <f>SUM(C23)/C$142</f>
        <v>#DIV/0!</v>
      </c>
      <c r="D117" s="108"/>
      <c r="E117" s="111">
        <f>SUM(E23)/E$142</f>
        <v>-657</v>
      </c>
      <c r="F117" s="111" t="e">
        <f>SUM(F23)/F$142</f>
        <v>#DIV/0!</v>
      </c>
      <c r="G117" s="111" t="e">
        <f>SUM(G23)/G$142</f>
        <v>#DIV/0!</v>
      </c>
      <c r="H117" s="108"/>
      <c r="I117" s="111">
        <f>SUM(I23)/I$142</f>
        <v>0</v>
      </c>
      <c r="J117" s="111" t="e">
        <f>SUM(J23)/J$142</f>
        <v>#DIV/0!</v>
      </c>
      <c r="K117" s="111" t="e">
        <f>SUM(K23)/K$142</f>
        <v>#DIV/0!</v>
      </c>
      <c r="L117" s="108"/>
      <c r="M117" s="111">
        <f>SUM(M23)/M$142</f>
        <v>0</v>
      </c>
      <c r="N117" s="111" t="e">
        <f>SUM(N23)/N$142</f>
        <v>#DIV/0!</v>
      </c>
      <c r="O117" s="111" t="e">
        <f>SUM(O23)/O$142</f>
        <v>#DIV/0!</v>
      </c>
      <c r="P117" s="108"/>
      <c r="Q117" s="111">
        <f>SUM(Q23)/Q$142</f>
        <v>22436</v>
      </c>
      <c r="R117" s="111" t="e">
        <f>SUM(R23)/R$142</f>
        <v>#DIV/0!</v>
      </c>
      <c r="S117" s="111" t="e">
        <f>SUM(S23)/S$142</f>
        <v>#DIV/0!</v>
      </c>
      <c r="T117" s="108"/>
      <c r="U117" s="111">
        <f>SUM(U23)/U$142</f>
        <v>0</v>
      </c>
      <c r="V117" s="111">
        <f>SUM(V23)/V$142</f>
        <v>0</v>
      </c>
      <c r="W117" s="111">
        <f>SUM(W23)/W$142</f>
        <v>104</v>
      </c>
      <c r="X117" s="111" t="e">
        <f>SUM(X23)/X$142</f>
        <v>#DIV/0!</v>
      </c>
      <c r="Y117" s="111" t="e">
        <f>SUM(Y23)/Y$142</f>
        <v>#DIV/0!</v>
      </c>
      <c r="Z117" s="108"/>
      <c r="AA117" s="111">
        <f>SUM(AA23)/AA$142</f>
        <v>364.57799999999997</v>
      </c>
      <c r="AB117" s="111" t="e">
        <f>SUM(AB23)/AB$142</f>
        <v>#DIV/0!</v>
      </c>
      <c r="AC117" s="111" t="e">
        <f>SUM(AC23)/AC$142</f>
        <v>#DIV/0!</v>
      </c>
      <c r="AD117" s="108"/>
      <c r="AE117" s="111">
        <f>SUM(AE23)/AE$142</f>
        <v>703.524</v>
      </c>
      <c r="AF117" s="111" t="e">
        <f>SUM(AF23)/AF$142</f>
        <v>#DIV/0!</v>
      </c>
      <c r="AG117" s="111" t="e">
        <f>SUM(AG23)/AG$142</f>
        <v>#DIV/0!</v>
      </c>
      <c r="AH117" s="108"/>
      <c r="AI117" s="111">
        <f>SUM(AI23)/AI$142</f>
        <v>188.46899999999999</v>
      </c>
      <c r="AJ117" s="111" t="e">
        <f>SUM(AJ23)/AJ$142</f>
        <v>#DIV/0!</v>
      </c>
      <c r="AK117" s="111" t="e">
        <f>SUM(AK23)/AK$142</f>
        <v>#DIV/0!</v>
      </c>
      <c r="AL117" s="108"/>
      <c r="AM117" s="111">
        <f>SUM(AM23)/AM$142</f>
        <v>3749</v>
      </c>
      <c r="AN117" s="111" t="e">
        <f>SUM(AN23)/AN$142</f>
        <v>#DIV/0!</v>
      </c>
      <c r="AO117" s="111" t="e">
        <f>SUM(AO23)/AO$142</f>
        <v>#DIV/0!</v>
      </c>
      <c r="AP117" s="108"/>
      <c r="AQ117" s="111">
        <f t="shared" ref="AQ117:BV117" si="24">SUM(AQ23)/AQ$142</f>
        <v>21</v>
      </c>
      <c r="AR117" s="111" t="e">
        <f t="shared" si="24"/>
        <v>#DIV/0!</v>
      </c>
      <c r="AS117" s="111" t="e">
        <f t="shared" si="24"/>
        <v>#DIV/0!</v>
      </c>
      <c r="AT117" s="111" t="e">
        <f t="shared" si="24"/>
        <v>#DIV/0!</v>
      </c>
      <c r="AU117" s="111" t="e">
        <f t="shared" si="24"/>
        <v>#DIV/0!</v>
      </c>
      <c r="AV117" s="111" t="e">
        <f t="shared" si="24"/>
        <v>#DIV/0!</v>
      </c>
      <c r="AW117" s="111" t="e">
        <f t="shared" si="24"/>
        <v>#DIV/0!</v>
      </c>
      <c r="AX117" s="111" t="e">
        <f t="shared" si="24"/>
        <v>#DIV/0!</v>
      </c>
      <c r="AY117" s="111" t="e">
        <f t="shared" si="24"/>
        <v>#DIV/0!</v>
      </c>
      <c r="AZ117" s="111" t="e">
        <f t="shared" si="24"/>
        <v>#DIV/0!</v>
      </c>
      <c r="BA117" s="111" t="e">
        <f t="shared" si="24"/>
        <v>#DIV/0!</v>
      </c>
      <c r="BB117" s="111" t="e">
        <f t="shared" si="24"/>
        <v>#DIV/0!</v>
      </c>
      <c r="BC117" s="111" t="e">
        <f t="shared" si="24"/>
        <v>#DIV/0!</v>
      </c>
      <c r="BD117" s="111" t="e">
        <f t="shared" si="24"/>
        <v>#DIV/0!</v>
      </c>
      <c r="BE117" s="111" t="e">
        <f t="shared" si="24"/>
        <v>#DIV/0!</v>
      </c>
      <c r="BF117" s="111" t="e">
        <f t="shared" si="24"/>
        <v>#DIV/0!</v>
      </c>
      <c r="BG117" s="111" t="e">
        <f t="shared" si="24"/>
        <v>#DIV/0!</v>
      </c>
      <c r="BH117" s="111" t="e">
        <f t="shared" si="24"/>
        <v>#DIV/0!</v>
      </c>
      <c r="BI117" s="111" t="e">
        <f t="shared" si="24"/>
        <v>#DIV/0!</v>
      </c>
      <c r="BJ117" s="111" t="e">
        <f t="shared" si="24"/>
        <v>#DIV/0!</v>
      </c>
      <c r="BK117" s="111" t="e">
        <f t="shared" si="24"/>
        <v>#DIV/0!</v>
      </c>
      <c r="BL117" s="111" t="e">
        <f t="shared" si="24"/>
        <v>#DIV/0!</v>
      </c>
      <c r="BM117" s="111" t="e">
        <f t="shared" si="24"/>
        <v>#DIV/0!</v>
      </c>
      <c r="BN117" s="111" t="e">
        <f t="shared" si="24"/>
        <v>#DIV/0!</v>
      </c>
      <c r="BO117" s="111" t="e">
        <f t="shared" si="24"/>
        <v>#DIV/0!</v>
      </c>
      <c r="BP117" s="111" t="e">
        <f t="shared" si="24"/>
        <v>#DIV/0!</v>
      </c>
      <c r="BQ117" s="111" t="e">
        <f t="shared" si="24"/>
        <v>#DIV/0!</v>
      </c>
      <c r="BR117" s="111" t="e">
        <f t="shared" si="24"/>
        <v>#DIV/0!</v>
      </c>
      <c r="BS117" s="111" t="e">
        <f t="shared" si="24"/>
        <v>#DIV/0!</v>
      </c>
      <c r="BT117" s="111" t="e">
        <f t="shared" si="24"/>
        <v>#DIV/0!</v>
      </c>
      <c r="BU117" s="111" t="e">
        <f t="shared" si="24"/>
        <v>#DIV/0!</v>
      </c>
      <c r="BV117" s="111" t="e">
        <f t="shared" si="24"/>
        <v>#DIV/0!</v>
      </c>
      <c r="BW117" s="111" t="e">
        <f t="shared" ref="BW117:DB117" si="25">SUM(BW23)/BW$142</f>
        <v>#DIV/0!</v>
      </c>
      <c r="BX117" s="111" t="e">
        <f t="shared" si="25"/>
        <v>#DIV/0!</v>
      </c>
      <c r="BY117" s="111" t="e">
        <f t="shared" si="25"/>
        <v>#DIV/0!</v>
      </c>
      <c r="BZ117" s="111" t="e">
        <f t="shared" si="25"/>
        <v>#DIV/0!</v>
      </c>
      <c r="CA117" s="111" t="e">
        <f t="shared" si="25"/>
        <v>#DIV/0!</v>
      </c>
      <c r="CB117" s="111" t="e">
        <f t="shared" si="25"/>
        <v>#DIV/0!</v>
      </c>
      <c r="CC117" s="111" t="e">
        <f t="shared" si="25"/>
        <v>#DIV/0!</v>
      </c>
      <c r="CD117" s="111" t="e">
        <f t="shared" si="25"/>
        <v>#DIV/0!</v>
      </c>
      <c r="CE117" s="111" t="e">
        <f t="shared" si="25"/>
        <v>#DIV/0!</v>
      </c>
      <c r="CF117" s="111" t="e">
        <f t="shared" si="25"/>
        <v>#DIV/0!</v>
      </c>
      <c r="CG117" s="111" t="e">
        <f t="shared" si="25"/>
        <v>#DIV/0!</v>
      </c>
      <c r="CH117" s="111" t="e">
        <f t="shared" si="25"/>
        <v>#DIV/0!</v>
      </c>
      <c r="CI117" s="111" t="e">
        <f t="shared" si="25"/>
        <v>#DIV/0!</v>
      </c>
      <c r="CJ117" s="111" t="e">
        <f t="shared" si="25"/>
        <v>#DIV/0!</v>
      </c>
      <c r="CK117" s="111" t="e">
        <f t="shared" si="25"/>
        <v>#DIV/0!</v>
      </c>
      <c r="CL117" s="111" t="e">
        <f t="shared" si="25"/>
        <v>#DIV/0!</v>
      </c>
      <c r="CM117" s="111" t="e">
        <f t="shared" si="25"/>
        <v>#DIV/0!</v>
      </c>
      <c r="CN117" s="111" t="e">
        <f t="shared" si="25"/>
        <v>#DIV/0!</v>
      </c>
      <c r="CO117" s="111" t="e">
        <f t="shared" si="25"/>
        <v>#DIV/0!</v>
      </c>
      <c r="CP117" s="111" t="e">
        <f t="shared" si="25"/>
        <v>#DIV/0!</v>
      </c>
      <c r="CQ117" s="111" t="e">
        <f t="shared" si="25"/>
        <v>#DIV/0!</v>
      </c>
      <c r="CR117" s="111" t="e">
        <f t="shared" si="25"/>
        <v>#DIV/0!</v>
      </c>
      <c r="CS117" s="111" t="e">
        <f t="shared" si="25"/>
        <v>#DIV/0!</v>
      </c>
      <c r="CT117" s="111" t="e">
        <f t="shared" si="25"/>
        <v>#DIV/0!</v>
      </c>
      <c r="CU117" s="111" t="e">
        <f t="shared" si="25"/>
        <v>#DIV/0!</v>
      </c>
      <c r="CV117" s="111" t="e">
        <f t="shared" si="25"/>
        <v>#DIV/0!</v>
      </c>
      <c r="CW117" s="111" t="e">
        <f t="shared" si="25"/>
        <v>#DIV/0!</v>
      </c>
      <c r="CX117" s="111" t="e">
        <f t="shared" si="25"/>
        <v>#DIV/0!</v>
      </c>
      <c r="CY117" s="111" t="e">
        <f t="shared" si="25"/>
        <v>#DIV/0!</v>
      </c>
      <c r="CZ117" s="111" t="e">
        <f t="shared" si="25"/>
        <v>#DIV/0!</v>
      </c>
      <c r="DA117" s="111" t="e">
        <f t="shared" si="25"/>
        <v>#DIV/0!</v>
      </c>
      <c r="DB117" s="111" t="e">
        <f t="shared" si="25"/>
        <v>#DIV/0!</v>
      </c>
      <c r="DC117" s="111" t="e">
        <f t="shared" ref="DC117:DN117" si="26">SUM(DC23)/DC$142</f>
        <v>#DIV/0!</v>
      </c>
      <c r="DD117" s="111" t="e">
        <f t="shared" si="26"/>
        <v>#DIV/0!</v>
      </c>
      <c r="DE117" s="111" t="e">
        <f t="shared" si="26"/>
        <v>#DIV/0!</v>
      </c>
      <c r="DF117" s="111" t="e">
        <f t="shared" si="26"/>
        <v>#DIV/0!</v>
      </c>
      <c r="DG117" s="111" t="e">
        <f t="shared" si="26"/>
        <v>#DIV/0!</v>
      </c>
      <c r="DH117" s="111" t="e">
        <f t="shared" si="26"/>
        <v>#DIV/0!</v>
      </c>
      <c r="DI117" s="111" t="e">
        <f t="shared" si="26"/>
        <v>#DIV/0!</v>
      </c>
      <c r="DJ117" s="111" t="e">
        <f t="shared" si="26"/>
        <v>#DIV/0!</v>
      </c>
      <c r="DK117" s="111" t="e">
        <f t="shared" si="26"/>
        <v>#DIV/0!</v>
      </c>
      <c r="DL117" s="111" t="e">
        <f t="shared" si="26"/>
        <v>#DIV/0!</v>
      </c>
      <c r="DM117" s="111" t="e">
        <f t="shared" si="26"/>
        <v>#DIV/0!</v>
      </c>
      <c r="DN117" s="111" t="e">
        <f t="shared" si="26"/>
        <v>#DIV/0!</v>
      </c>
    </row>
    <row r="118" spans="1:118" ht="12.75" customHeight="1" x14ac:dyDescent="0.2">
      <c r="A118" s="85"/>
      <c r="B118" s="85"/>
      <c r="C118" s="91"/>
      <c r="D118" s="92"/>
      <c r="E118" s="85"/>
      <c r="F118" s="85"/>
      <c r="G118" s="91"/>
      <c r="H118" s="92"/>
      <c r="I118" s="85"/>
      <c r="J118" s="85"/>
      <c r="K118" s="91"/>
      <c r="L118" s="92"/>
      <c r="M118" s="85"/>
      <c r="N118" s="85"/>
      <c r="O118" s="91"/>
      <c r="P118" s="92"/>
      <c r="Q118" s="85"/>
      <c r="R118" s="85"/>
      <c r="S118" s="91"/>
      <c r="T118" s="92"/>
      <c r="U118" s="85"/>
      <c r="V118" s="85"/>
      <c r="W118" s="85"/>
      <c r="X118" s="85"/>
      <c r="Y118" s="91"/>
      <c r="Z118" s="92"/>
      <c r="AA118" s="85"/>
      <c r="AB118" s="85"/>
      <c r="AC118" s="91"/>
      <c r="AD118" s="92"/>
      <c r="AE118" s="85"/>
      <c r="AF118" s="85"/>
      <c r="AG118" s="91"/>
      <c r="AH118" s="92"/>
      <c r="AI118" s="85"/>
      <c r="AJ118" s="85"/>
      <c r="AK118" s="91"/>
      <c r="AL118" s="92"/>
      <c r="AM118" s="85"/>
      <c r="AN118" s="85"/>
      <c r="AO118" s="91"/>
      <c r="AP118" s="92"/>
      <c r="AQ118" s="85"/>
      <c r="AR118" s="85"/>
      <c r="AS118" s="85"/>
    </row>
    <row r="119" spans="1:118" ht="12.75" customHeight="1" x14ac:dyDescent="0.2">
      <c r="A119" s="148" t="s">
        <v>295</v>
      </c>
      <c r="B119" s="148"/>
      <c r="C119" s="91"/>
      <c r="D119" s="92"/>
      <c r="E119" s="85"/>
      <c r="F119" s="85"/>
      <c r="G119" s="91"/>
      <c r="H119" s="92"/>
      <c r="I119" s="85"/>
      <c r="J119" s="85"/>
      <c r="K119" s="91"/>
      <c r="L119" s="92"/>
      <c r="M119" s="85"/>
      <c r="N119" s="85"/>
      <c r="O119" s="91"/>
      <c r="P119" s="92"/>
      <c r="Q119" s="85"/>
      <c r="R119" s="85"/>
      <c r="S119" s="91"/>
      <c r="T119" s="92"/>
      <c r="U119" s="85"/>
      <c r="V119" s="85"/>
      <c r="W119" s="85"/>
      <c r="X119" s="85"/>
      <c r="Y119" s="91"/>
      <c r="Z119" s="92"/>
      <c r="AA119" s="85"/>
      <c r="AB119" s="85"/>
      <c r="AC119" s="91"/>
      <c r="AD119" s="92"/>
      <c r="AE119" s="85"/>
      <c r="AF119" s="85"/>
      <c r="AG119" s="91"/>
      <c r="AH119" s="92"/>
      <c r="AI119" s="85"/>
      <c r="AJ119" s="85"/>
      <c r="AK119" s="91"/>
      <c r="AL119" s="92"/>
      <c r="AM119" s="85"/>
      <c r="AN119" s="85"/>
      <c r="AO119" s="91"/>
      <c r="AP119" s="92"/>
      <c r="AQ119" s="85"/>
      <c r="AR119" s="85"/>
      <c r="AS119" s="85"/>
    </row>
    <row r="120" spans="1:118" s="176" customFormat="1" ht="12.75" customHeight="1" x14ac:dyDescent="0.2">
      <c r="A120" s="10"/>
      <c r="B120" s="175" t="s">
        <v>296</v>
      </c>
      <c r="C120" s="108">
        <f>AVERAGE(C30:E30)</f>
        <v>173062</v>
      </c>
      <c r="D120" s="108"/>
      <c r="E120" s="108">
        <f t="shared" ref="E120:J120" si="27">AVERAGE(E30:F30)</f>
        <v>138811.5</v>
      </c>
      <c r="F120" s="108">
        <f t="shared" si="27"/>
        <v>104561</v>
      </c>
      <c r="G120" s="108">
        <f>AVERAGE(G30:I30)</f>
        <v>18739.806</v>
      </c>
      <c r="H120" s="108"/>
      <c r="I120" s="108">
        <f t="shared" si="27"/>
        <v>13838.8145</v>
      </c>
      <c r="J120" s="108">
        <f t="shared" si="27"/>
        <v>8937.8230000000003</v>
      </c>
      <c r="K120" s="108">
        <f>AVERAGE(K30:M30)</f>
        <v>3582.2660000000001</v>
      </c>
      <c r="L120" s="108"/>
      <c r="M120" s="108">
        <f t="shared" ref="M120:AQ120" si="28">AVERAGE(M30:N30)</f>
        <v>2005.1880000000001</v>
      </c>
      <c r="N120" s="108">
        <f t="shared" si="28"/>
        <v>428.11</v>
      </c>
      <c r="O120" s="108">
        <f>AVERAGE(O30:Q30)</f>
        <v>2528410</v>
      </c>
      <c r="P120" s="108"/>
      <c r="Q120" s="108">
        <f t="shared" si="28"/>
        <v>2511005</v>
      </c>
      <c r="R120" s="108">
        <f t="shared" si="28"/>
        <v>2493600</v>
      </c>
      <c r="S120" s="108">
        <f>AVERAGE(S30:U30)</f>
        <v>2187.8939999999998</v>
      </c>
      <c r="T120" s="108"/>
      <c r="U120" s="108">
        <f t="shared" si="28"/>
        <v>2187.8939999999998</v>
      </c>
      <c r="V120" s="108">
        <f t="shared" si="28"/>
        <v>58925</v>
      </c>
      <c r="W120" s="108">
        <f t="shared" si="28"/>
        <v>42680.5</v>
      </c>
      <c r="X120" s="108">
        <f t="shared" si="28"/>
        <v>26436</v>
      </c>
      <c r="Y120" s="108">
        <f>AVERAGE(Y30:AA30)</f>
        <v>88960.47</v>
      </c>
      <c r="Z120" s="108"/>
      <c r="AA120" s="108">
        <f t="shared" si="28"/>
        <v>82861.773000000001</v>
      </c>
      <c r="AB120" s="108">
        <f t="shared" si="28"/>
        <v>76763.076000000001</v>
      </c>
      <c r="AC120" s="108">
        <f>AVERAGE(AC30:AE30)</f>
        <v>47424.517999999996</v>
      </c>
      <c r="AD120" s="108"/>
      <c r="AE120" s="108">
        <f t="shared" si="28"/>
        <v>43239.222500000003</v>
      </c>
      <c r="AF120" s="108">
        <f t="shared" si="28"/>
        <v>39053.927000000003</v>
      </c>
      <c r="AG120" s="108">
        <f>AVERAGE(AG30:AI30)</f>
        <v>16166.915999999999</v>
      </c>
      <c r="AH120" s="108"/>
      <c r="AI120" s="108">
        <f t="shared" si="28"/>
        <v>16166.915999999999</v>
      </c>
      <c r="AJ120" s="108" t="e">
        <f t="shared" si="28"/>
        <v>#DIV/0!</v>
      </c>
      <c r="AK120" s="108">
        <f>AVERAGE(AK30:AM30)</f>
        <v>84938</v>
      </c>
      <c r="AL120" s="108"/>
      <c r="AM120" s="108">
        <f t="shared" si="28"/>
        <v>94264</v>
      </c>
      <c r="AN120" s="108">
        <f t="shared" si="28"/>
        <v>103590</v>
      </c>
      <c r="AO120" s="108">
        <f>AVERAGE(AO30:AQ30)</f>
        <v>17392</v>
      </c>
      <c r="AP120" s="108"/>
      <c r="AQ120" s="108">
        <f t="shared" si="28"/>
        <v>14131.5</v>
      </c>
      <c r="AR120" s="153"/>
      <c r="AS120" s="10"/>
    </row>
    <row r="121" spans="1:118" s="176" customFormat="1" ht="12.75" customHeight="1" x14ac:dyDescent="0.2">
      <c r="A121" s="10"/>
      <c r="B121" s="175" t="s">
        <v>297</v>
      </c>
      <c r="C121" s="108">
        <f>AVERAGE(C28:E28)</f>
        <v>128982</v>
      </c>
      <c r="D121" s="108"/>
      <c r="E121" s="108">
        <f t="shared" ref="E121:J121" si="29">AVERAGE(E28:F28)</f>
        <v>96547.5</v>
      </c>
      <c r="F121" s="108">
        <f t="shared" si="29"/>
        <v>64113</v>
      </c>
      <c r="G121" s="108">
        <f>AVERAGE(G28:I28)</f>
        <v>4832.6350000000002</v>
      </c>
      <c r="H121" s="108"/>
      <c r="I121" s="108">
        <f t="shared" si="29"/>
        <v>5319.9055000000008</v>
      </c>
      <c r="J121" s="108">
        <f t="shared" si="29"/>
        <v>5807.1760000000004</v>
      </c>
      <c r="K121" s="108">
        <f>AVERAGE(K28:M28)</f>
        <v>1619.6690000000001</v>
      </c>
      <c r="L121" s="108"/>
      <c r="M121" s="108">
        <f t="shared" ref="M121:AQ121" si="30">AVERAGE(M28:N28)</f>
        <v>809.83450000000005</v>
      </c>
      <c r="N121" s="108">
        <f t="shared" si="30"/>
        <v>0</v>
      </c>
      <c r="O121" s="108">
        <f>AVERAGE(O28:Q28)</f>
        <v>2079910</v>
      </c>
      <c r="P121" s="108"/>
      <c r="Q121" s="108">
        <f t="shared" si="30"/>
        <v>2077440.5</v>
      </c>
      <c r="R121" s="108">
        <f t="shared" si="30"/>
        <v>2074971</v>
      </c>
      <c r="S121" s="108">
        <f>AVERAGE(S28:U28)</f>
        <v>2101.8119999999999</v>
      </c>
      <c r="T121" s="108"/>
      <c r="U121" s="108">
        <f t="shared" si="30"/>
        <v>2101.8119999999999</v>
      </c>
      <c r="V121" s="108">
        <f t="shared" si="30"/>
        <v>35722</v>
      </c>
      <c r="W121" s="108">
        <f t="shared" si="30"/>
        <v>26265.5</v>
      </c>
      <c r="X121" s="108">
        <f t="shared" si="30"/>
        <v>16809</v>
      </c>
      <c r="Y121" s="108">
        <f>AVERAGE(Y28:AA28)</f>
        <v>77434.600000000006</v>
      </c>
      <c r="Z121" s="108"/>
      <c r="AA121" s="108">
        <f t="shared" si="30"/>
        <v>69524.142000000007</v>
      </c>
      <c r="AB121" s="108">
        <f t="shared" si="30"/>
        <v>61613.684000000001</v>
      </c>
      <c r="AC121" s="108">
        <f>AVERAGE(AC28:AE28)</f>
        <v>39200.731</v>
      </c>
      <c r="AD121" s="108"/>
      <c r="AE121" s="108">
        <f t="shared" si="30"/>
        <v>35612.033499999998</v>
      </c>
      <c r="AF121" s="108">
        <f t="shared" si="30"/>
        <v>32023.335999999999</v>
      </c>
      <c r="AG121" s="108">
        <f>AVERAGE(AG28:AI28)</f>
        <v>14939.331</v>
      </c>
      <c r="AH121" s="108"/>
      <c r="AI121" s="108">
        <f t="shared" si="30"/>
        <v>14939.331</v>
      </c>
      <c r="AJ121" s="108" t="e">
        <f t="shared" si="30"/>
        <v>#DIV/0!</v>
      </c>
      <c r="AK121" s="108">
        <f>AVERAGE(AK28:AM28)</f>
        <v>42387</v>
      </c>
      <c r="AL121" s="108"/>
      <c r="AM121" s="108">
        <f t="shared" si="30"/>
        <v>43293.5</v>
      </c>
      <c r="AN121" s="108">
        <f t="shared" si="30"/>
        <v>44200</v>
      </c>
      <c r="AO121" s="108">
        <f>AVERAGE(AO28:AQ28)</f>
        <v>17357</v>
      </c>
      <c r="AP121" s="108"/>
      <c r="AQ121" s="108">
        <f t="shared" si="30"/>
        <v>13387</v>
      </c>
      <c r="AR121" s="153"/>
      <c r="AS121" s="10"/>
    </row>
    <row r="122" spans="1:118" s="176" customFormat="1" ht="12.75" customHeight="1" x14ac:dyDescent="0.2">
      <c r="A122" s="10"/>
      <c r="B122" s="175" t="s">
        <v>298</v>
      </c>
      <c r="C122" s="108">
        <f t="shared" ref="C122:BN122" si="31">C28</f>
        <v>0</v>
      </c>
      <c r="D122" s="108"/>
      <c r="E122" s="108">
        <f t="shared" si="31"/>
        <v>128982</v>
      </c>
      <c r="F122" s="108">
        <f t="shared" si="31"/>
        <v>64113</v>
      </c>
      <c r="G122" s="108">
        <f t="shared" si="31"/>
        <v>0</v>
      </c>
      <c r="H122" s="108"/>
      <c r="I122" s="108">
        <f t="shared" si="31"/>
        <v>4832.6350000000002</v>
      </c>
      <c r="J122" s="108">
        <f t="shared" si="31"/>
        <v>5807.1760000000004</v>
      </c>
      <c r="K122" s="108">
        <f t="shared" si="31"/>
        <v>0</v>
      </c>
      <c r="L122" s="108"/>
      <c r="M122" s="108">
        <f t="shared" si="31"/>
        <v>1619.6690000000001</v>
      </c>
      <c r="N122" s="108">
        <f t="shared" si="31"/>
        <v>0</v>
      </c>
      <c r="O122" s="108">
        <f t="shared" si="31"/>
        <v>0</v>
      </c>
      <c r="P122" s="108"/>
      <c r="Q122" s="108">
        <f t="shared" si="31"/>
        <v>2079910</v>
      </c>
      <c r="R122" s="108">
        <f t="shared" si="31"/>
        <v>2074971</v>
      </c>
      <c r="S122" s="108">
        <f t="shared" si="31"/>
        <v>0</v>
      </c>
      <c r="T122" s="108"/>
      <c r="U122" s="108">
        <f t="shared" si="31"/>
        <v>2101.8119999999999</v>
      </c>
      <c r="V122" s="108">
        <f t="shared" si="31"/>
        <v>0</v>
      </c>
      <c r="W122" s="108">
        <f t="shared" si="31"/>
        <v>35722</v>
      </c>
      <c r="X122" s="108">
        <f t="shared" si="31"/>
        <v>16809</v>
      </c>
      <c r="Y122" s="108">
        <f t="shared" si="31"/>
        <v>0</v>
      </c>
      <c r="Z122" s="108"/>
      <c r="AA122" s="108">
        <f t="shared" si="31"/>
        <v>77434.600000000006</v>
      </c>
      <c r="AB122" s="108">
        <f t="shared" si="31"/>
        <v>61613.684000000001</v>
      </c>
      <c r="AC122" s="108">
        <f t="shared" si="31"/>
        <v>0</v>
      </c>
      <c r="AD122" s="108"/>
      <c r="AE122" s="108">
        <f t="shared" si="31"/>
        <v>39200.731</v>
      </c>
      <c r="AF122" s="108">
        <f t="shared" si="31"/>
        <v>32023.335999999999</v>
      </c>
      <c r="AG122" s="108">
        <f t="shared" si="31"/>
        <v>0</v>
      </c>
      <c r="AH122" s="108"/>
      <c r="AI122" s="108">
        <f t="shared" si="31"/>
        <v>14939.331</v>
      </c>
      <c r="AJ122" s="108">
        <f t="shared" si="31"/>
        <v>0</v>
      </c>
      <c r="AK122" s="108">
        <f t="shared" si="31"/>
        <v>0</v>
      </c>
      <c r="AL122" s="108"/>
      <c r="AM122" s="108">
        <f t="shared" si="31"/>
        <v>42387</v>
      </c>
      <c r="AN122" s="108">
        <f t="shared" si="31"/>
        <v>44200</v>
      </c>
      <c r="AO122" s="108">
        <f t="shared" si="31"/>
        <v>0</v>
      </c>
      <c r="AP122" s="108"/>
      <c r="AQ122" s="108">
        <f t="shared" si="31"/>
        <v>17357</v>
      </c>
      <c r="AR122" s="108">
        <f t="shared" si="31"/>
        <v>9417</v>
      </c>
      <c r="AS122" s="108">
        <f t="shared" si="31"/>
        <v>0</v>
      </c>
      <c r="AT122" s="108">
        <f t="shared" si="31"/>
        <v>0</v>
      </c>
      <c r="AU122" s="108">
        <f t="shared" si="31"/>
        <v>0</v>
      </c>
      <c r="AV122" s="108">
        <f t="shared" si="31"/>
        <v>0</v>
      </c>
      <c r="AW122" s="108">
        <f t="shared" si="31"/>
        <v>0</v>
      </c>
      <c r="AX122" s="108">
        <f t="shared" si="31"/>
        <v>0</v>
      </c>
      <c r="AY122" s="108">
        <f t="shared" si="31"/>
        <v>0</v>
      </c>
      <c r="AZ122" s="108">
        <f t="shared" si="31"/>
        <v>0</v>
      </c>
      <c r="BA122" s="108">
        <f t="shared" si="31"/>
        <v>0</v>
      </c>
      <c r="BB122" s="108">
        <f t="shared" si="31"/>
        <v>0</v>
      </c>
      <c r="BC122" s="108">
        <f t="shared" si="31"/>
        <v>0</v>
      </c>
      <c r="BD122" s="108">
        <f t="shared" si="31"/>
        <v>0</v>
      </c>
      <c r="BE122" s="108">
        <f t="shared" si="31"/>
        <v>0</v>
      </c>
      <c r="BF122" s="108">
        <f t="shared" si="31"/>
        <v>0</v>
      </c>
      <c r="BG122" s="108">
        <f t="shared" si="31"/>
        <v>0</v>
      </c>
      <c r="BH122" s="108">
        <f t="shared" si="31"/>
        <v>0</v>
      </c>
      <c r="BI122" s="108">
        <f t="shared" si="31"/>
        <v>0</v>
      </c>
      <c r="BJ122" s="108">
        <f t="shared" si="31"/>
        <v>0</v>
      </c>
      <c r="BK122" s="108">
        <f t="shared" si="31"/>
        <v>0</v>
      </c>
      <c r="BL122" s="108">
        <f t="shared" si="31"/>
        <v>0</v>
      </c>
      <c r="BM122" s="108">
        <f t="shared" si="31"/>
        <v>0</v>
      </c>
      <c r="BN122" s="108">
        <f t="shared" si="31"/>
        <v>0</v>
      </c>
      <c r="BO122" s="108">
        <f t="shared" ref="BO122:DK122" si="32">BO28</f>
        <v>0</v>
      </c>
      <c r="BP122" s="108">
        <f t="shared" si="32"/>
        <v>0</v>
      </c>
      <c r="BQ122" s="108">
        <f t="shared" si="32"/>
        <v>0</v>
      </c>
      <c r="BR122" s="108">
        <f t="shared" si="32"/>
        <v>0</v>
      </c>
      <c r="BS122" s="108">
        <f t="shared" si="32"/>
        <v>0</v>
      </c>
      <c r="BT122" s="108">
        <f t="shared" si="32"/>
        <v>0</v>
      </c>
      <c r="BU122" s="108">
        <f t="shared" si="32"/>
        <v>0</v>
      </c>
      <c r="BV122" s="108">
        <f t="shared" si="32"/>
        <v>0</v>
      </c>
      <c r="BW122" s="108">
        <f t="shared" si="32"/>
        <v>0</v>
      </c>
      <c r="BX122" s="108">
        <f t="shared" si="32"/>
        <v>0</v>
      </c>
      <c r="BY122" s="108">
        <f t="shared" si="32"/>
        <v>0</v>
      </c>
      <c r="BZ122" s="108">
        <f t="shared" si="32"/>
        <v>0</v>
      </c>
      <c r="CA122" s="108">
        <f t="shared" si="32"/>
        <v>0</v>
      </c>
      <c r="CB122" s="108">
        <f t="shared" si="32"/>
        <v>0</v>
      </c>
      <c r="CC122" s="108">
        <f t="shared" si="32"/>
        <v>0</v>
      </c>
      <c r="CD122" s="108">
        <f t="shared" si="32"/>
        <v>0</v>
      </c>
      <c r="CE122" s="108">
        <f t="shared" si="32"/>
        <v>0</v>
      </c>
      <c r="CF122" s="108">
        <f t="shared" si="32"/>
        <v>0</v>
      </c>
      <c r="CG122" s="108">
        <f t="shared" si="32"/>
        <v>0</v>
      </c>
      <c r="CH122" s="108">
        <f t="shared" si="32"/>
        <v>0</v>
      </c>
      <c r="CI122" s="108">
        <f t="shared" si="32"/>
        <v>0</v>
      </c>
      <c r="CJ122" s="108">
        <f t="shared" si="32"/>
        <v>0</v>
      </c>
      <c r="CK122" s="108">
        <f t="shared" si="32"/>
        <v>0</v>
      </c>
      <c r="CL122" s="108">
        <f t="shared" si="32"/>
        <v>0</v>
      </c>
      <c r="CM122" s="108">
        <f t="shared" si="32"/>
        <v>0</v>
      </c>
      <c r="CN122" s="108">
        <f t="shared" si="32"/>
        <v>0</v>
      </c>
      <c r="CO122" s="108">
        <f t="shared" si="32"/>
        <v>0</v>
      </c>
      <c r="CP122" s="108">
        <f t="shared" si="32"/>
        <v>0</v>
      </c>
      <c r="CQ122" s="108">
        <f t="shared" si="32"/>
        <v>0</v>
      </c>
      <c r="CR122" s="108">
        <f t="shared" si="32"/>
        <v>0</v>
      </c>
      <c r="CS122" s="108">
        <f t="shared" si="32"/>
        <v>0</v>
      </c>
      <c r="CT122" s="108">
        <f t="shared" si="32"/>
        <v>0</v>
      </c>
      <c r="CU122" s="108">
        <f t="shared" si="32"/>
        <v>0</v>
      </c>
      <c r="CV122" s="108">
        <f t="shared" si="32"/>
        <v>0</v>
      </c>
      <c r="CW122" s="108">
        <f t="shared" si="32"/>
        <v>0</v>
      </c>
      <c r="CX122" s="108">
        <f t="shared" si="32"/>
        <v>0</v>
      </c>
      <c r="CY122" s="108">
        <f t="shared" si="32"/>
        <v>0</v>
      </c>
      <c r="CZ122" s="108">
        <f t="shared" si="32"/>
        <v>0</v>
      </c>
      <c r="DA122" s="108">
        <f t="shared" si="32"/>
        <v>0</v>
      </c>
      <c r="DB122" s="108">
        <f t="shared" si="32"/>
        <v>0</v>
      </c>
      <c r="DC122" s="108">
        <f t="shared" si="32"/>
        <v>0</v>
      </c>
      <c r="DD122" s="108">
        <f t="shared" si="32"/>
        <v>0</v>
      </c>
      <c r="DE122" s="108">
        <f t="shared" si="32"/>
        <v>0</v>
      </c>
      <c r="DF122" s="108">
        <f t="shared" si="32"/>
        <v>0</v>
      </c>
      <c r="DG122" s="108">
        <f t="shared" si="32"/>
        <v>0</v>
      </c>
      <c r="DH122" s="108">
        <f t="shared" si="32"/>
        <v>0</v>
      </c>
      <c r="DI122" s="108">
        <f t="shared" si="32"/>
        <v>0</v>
      </c>
      <c r="DJ122" s="108">
        <f t="shared" si="32"/>
        <v>0</v>
      </c>
      <c r="DK122" s="108">
        <f t="shared" si="32"/>
        <v>0</v>
      </c>
      <c r="DL122" s="108">
        <f>DL28</f>
        <v>0</v>
      </c>
      <c r="DM122" s="108">
        <f>DM28</f>
        <v>0</v>
      </c>
      <c r="DN122" s="108">
        <f>DN28</f>
        <v>0</v>
      </c>
    </row>
    <row r="123" spans="1:118" s="176" customFormat="1" ht="12.75" customHeight="1" x14ac:dyDescent="0.2">
      <c r="A123" s="10"/>
      <c r="B123" s="175" t="s">
        <v>299</v>
      </c>
      <c r="C123" s="108">
        <f>AVERAGE(C36:E36)</f>
        <v>27605</v>
      </c>
      <c r="D123" s="108"/>
      <c r="E123" s="108">
        <f t="shared" ref="E123:BP123" si="33">AVERAGE(E36:F36)</f>
        <v>27329</v>
      </c>
      <c r="F123" s="108">
        <f t="shared" si="33"/>
        <v>27053</v>
      </c>
      <c r="G123" s="108">
        <f>AVERAGE(G36:I36)</f>
        <v>5740.3029999999999</v>
      </c>
      <c r="H123" s="108"/>
      <c r="I123" s="108">
        <f t="shared" si="33"/>
        <v>5193.9315000000006</v>
      </c>
      <c r="J123" s="108">
        <f t="shared" si="33"/>
        <v>4647.5600000000004</v>
      </c>
      <c r="K123" s="108">
        <f>AVERAGE(K36:M36)</f>
        <v>501.52600000000001</v>
      </c>
      <c r="L123" s="108"/>
      <c r="M123" s="108">
        <f t="shared" si="33"/>
        <v>328.86850000000004</v>
      </c>
      <c r="N123" s="108">
        <f t="shared" si="33"/>
        <v>156.21100000000001</v>
      </c>
      <c r="O123" s="108">
        <f>AVERAGE(O36:Q36)</f>
        <v>213240</v>
      </c>
      <c r="P123" s="108"/>
      <c r="Q123" s="108">
        <f t="shared" si="33"/>
        <v>206276.5</v>
      </c>
      <c r="R123" s="108">
        <f t="shared" si="33"/>
        <v>199313</v>
      </c>
      <c r="S123" s="108">
        <f>AVERAGE(S36:U36)</f>
        <v>-183.56899999999999</v>
      </c>
      <c r="T123" s="108"/>
      <c r="U123" s="108">
        <f t="shared" si="33"/>
        <v>-183.56899999999999</v>
      </c>
      <c r="V123" s="108">
        <f t="shared" si="33"/>
        <v>19091</v>
      </c>
      <c r="W123" s="108">
        <f t="shared" si="33"/>
        <v>17470.5</v>
      </c>
      <c r="X123" s="108">
        <f t="shared" si="33"/>
        <v>15850</v>
      </c>
      <c r="Y123" s="108">
        <f>AVERAGE(Y36:AA36)</f>
        <v>10376.531000000001</v>
      </c>
      <c r="Z123" s="108"/>
      <c r="AA123" s="108">
        <f t="shared" si="33"/>
        <v>9942.8535000000011</v>
      </c>
      <c r="AB123" s="108">
        <f t="shared" si="33"/>
        <v>9509.1759999999995</v>
      </c>
      <c r="AC123" s="108">
        <f>AVERAGE(AC36:AE36)</f>
        <v>6826.9229999999998</v>
      </c>
      <c r="AD123" s="108"/>
      <c r="AE123" s="108">
        <f t="shared" si="33"/>
        <v>6282.5239999999994</v>
      </c>
      <c r="AF123" s="108">
        <f t="shared" si="33"/>
        <v>5738.125</v>
      </c>
      <c r="AG123" s="108">
        <f>AVERAGE(AG36:AI36)</f>
        <v>2825.7809999999999</v>
      </c>
      <c r="AH123" s="108"/>
      <c r="AI123" s="108">
        <f t="shared" si="33"/>
        <v>2825.7809999999999</v>
      </c>
      <c r="AJ123" s="108" t="e">
        <f t="shared" si="33"/>
        <v>#DIV/0!</v>
      </c>
      <c r="AK123" s="108">
        <f>AVERAGE(AK36:AM36)</f>
        <v>39661</v>
      </c>
      <c r="AL123" s="108"/>
      <c r="AM123" s="108">
        <f t="shared" si="33"/>
        <v>45422</v>
      </c>
      <c r="AN123" s="108">
        <f t="shared" si="33"/>
        <v>51183</v>
      </c>
      <c r="AO123" s="108">
        <f>AVERAGE(AO36:AQ36)</f>
        <v>3248</v>
      </c>
      <c r="AP123" s="108"/>
      <c r="AQ123" s="108">
        <f t="shared" si="33"/>
        <v>3229</v>
      </c>
      <c r="AR123" s="108">
        <f t="shared" si="33"/>
        <v>3210</v>
      </c>
      <c r="AS123" s="108" t="e">
        <f t="shared" si="33"/>
        <v>#DIV/0!</v>
      </c>
      <c r="AT123" s="108" t="e">
        <f t="shared" si="33"/>
        <v>#DIV/0!</v>
      </c>
      <c r="AU123" s="108" t="e">
        <f t="shared" si="33"/>
        <v>#DIV/0!</v>
      </c>
      <c r="AV123" s="108" t="e">
        <f t="shared" si="33"/>
        <v>#DIV/0!</v>
      </c>
      <c r="AW123" s="108" t="e">
        <f t="shared" si="33"/>
        <v>#DIV/0!</v>
      </c>
      <c r="AX123" s="108" t="e">
        <f t="shared" si="33"/>
        <v>#DIV/0!</v>
      </c>
      <c r="AY123" s="108" t="e">
        <f t="shared" si="33"/>
        <v>#DIV/0!</v>
      </c>
      <c r="AZ123" s="108" t="e">
        <f t="shared" si="33"/>
        <v>#DIV/0!</v>
      </c>
      <c r="BA123" s="108" t="e">
        <f t="shared" si="33"/>
        <v>#DIV/0!</v>
      </c>
      <c r="BB123" s="108" t="e">
        <f t="shared" si="33"/>
        <v>#DIV/0!</v>
      </c>
      <c r="BC123" s="108" t="e">
        <f t="shared" si="33"/>
        <v>#DIV/0!</v>
      </c>
      <c r="BD123" s="108" t="e">
        <f t="shared" si="33"/>
        <v>#DIV/0!</v>
      </c>
      <c r="BE123" s="108" t="e">
        <f t="shared" si="33"/>
        <v>#DIV/0!</v>
      </c>
      <c r="BF123" s="108" t="e">
        <f t="shared" si="33"/>
        <v>#DIV/0!</v>
      </c>
      <c r="BG123" s="108" t="e">
        <f t="shared" si="33"/>
        <v>#DIV/0!</v>
      </c>
      <c r="BH123" s="108" t="e">
        <f t="shared" si="33"/>
        <v>#DIV/0!</v>
      </c>
      <c r="BI123" s="108" t="e">
        <f t="shared" si="33"/>
        <v>#DIV/0!</v>
      </c>
      <c r="BJ123" s="108" t="e">
        <f t="shared" si="33"/>
        <v>#DIV/0!</v>
      </c>
      <c r="BK123" s="108" t="e">
        <f t="shared" si="33"/>
        <v>#DIV/0!</v>
      </c>
      <c r="BL123" s="108" t="e">
        <f t="shared" si="33"/>
        <v>#DIV/0!</v>
      </c>
      <c r="BM123" s="108" t="e">
        <f t="shared" si="33"/>
        <v>#DIV/0!</v>
      </c>
      <c r="BN123" s="108" t="e">
        <f t="shared" si="33"/>
        <v>#DIV/0!</v>
      </c>
      <c r="BO123" s="108" t="e">
        <f t="shared" si="33"/>
        <v>#DIV/0!</v>
      </c>
      <c r="BP123" s="108" t="e">
        <f t="shared" si="33"/>
        <v>#DIV/0!</v>
      </c>
      <c r="BQ123" s="108" t="e">
        <f t="shared" ref="BQ123:DK123" si="34">AVERAGE(BQ36:BR36)</f>
        <v>#DIV/0!</v>
      </c>
      <c r="BR123" s="108" t="e">
        <f t="shared" si="34"/>
        <v>#DIV/0!</v>
      </c>
      <c r="BS123" s="108" t="e">
        <f t="shared" si="34"/>
        <v>#DIV/0!</v>
      </c>
      <c r="BT123" s="108" t="e">
        <f t="shared" si="34"/>
        <v>#DIV/0!</v>
      </c>
      <c r="BU123" s="108" t="e">
        <f t="shared" si="34"/>
        <v>#DIV/0!</v>
      </c>
      <c r="BV123" s="108" t="e">
        <f t="shared" si="34"/>
        <v>#DIV/0!</v>
      </c>
      <c r="BW123" s="108" t="e">
        <f t="shared" si="34"/>
        <v>#DIV/0!</v>
      </c>
      <c r="BX123" s="108" t="e">
        <f t="shared" si="34"/>
        <v>#DIV/0!</v>
      </c>
      <c r="BY123" s="108" t="e">
        <f t="shared" si="34"/>
        <v>#DIV/0!</v>
      </c>
      <c r="BZ123" s="108" t="e">
        <f t="shared" si="34"/>
        <v>#DIV/0!</v>
      </c>
      <c r="CA123" s="108" t="e">
        <f t="shared" si="34"/>
        <v>#DIV/0!</v>
      </c>
      <c r="CB123" s="108" t="e">
        <f t="shared" si="34"/>
        <v>#DIV/0!</v>
      </c>
      <c r="CC123" s="108" t="e">
        <f t="shared" si="34"/>
        <v>#DIV/0!</v>
      </c>
      <c r="CD123" s="108" t="e">
        <f t="shared" si="34"/>
        <v>#DIV/0!</v>
      </c>
      <c r="CE123" s="108" t="e">
        <f t="shared" si="34"/>
        <v>#DIV/0!</v>
      </c>
      <c r="CF123" s="108" t="e">
        <f t="shared" si="34"/>
        <v>#DIV/0!</v>
      </c>
      <c r="CG123" s="108" t="e">
        <f t="shared" si="34"/>
        <v>#DIV/0!</v>
      </c>
      <c r="CH123" s="108" t="e">
        <f t="shared" si="34"/>
        <v>#DIV/0!</v>
      </c>
      <c r="CI123" s="108" t="e">
        <f t="shared" si="34"/>
        <v>#DIV/0!</v>
      </c>
      <c r="CJ123" s="108" t="e">
        <f t="shared" si="34"/>
        <v>#DIV/0!</v>
      </c>
      <c r="CK123" s="108" t="e">
        <f t="shared" si="34"/>
        <v>#DIV/0!</v>
      </c>
      <c r="CL123" s="108" t="e">
        <f t="shared" si="34"/>
        <v>#DIV/0!</v>
      </c>
      <c r="CM123" s="108" t="e">
        <f t="shared" si="34"/>
        <v>#DIV/0!</v>
      </c>
      <c r="CN123" s="108" t="e">
        <f t="shared" si="34"/>
        <v>#DIV/0!</v>
      </c>
      <c r="CO123" s="108" t="e">
        <f t="shared" si="34"/>
        <v>#DIV/0!</v>
      </c>
      <c r="CP123" s="108" t="e">
        <f t="shared" si="34"/>
        <v>#DIV/0!</v>
      </c>
      <c r="CQ123" s="108" t="e">
        <f t="shared" si="34"/>
        <v>#DIV/0!</v>
      </c>
      <c r="CR123" s="108" t="e">
        <f t="shared" si="34"/>
        <v>#DIV/0!</v>
      </c>
      <c r="CS123" s="108" t="e">
        <f t="shared" si="34"/>
        <v>#DIV/0!</v>
      </c>
      <c r="CT123" s="108" t="e">
        <f t="shared" si="34"/>
        <v>#DIV/0!</v>
      </c>
      <c r="CU123" s="108" t="e">
        <f t="shared" si="34"/>
        <v>#DIV/0!</v>
      </c>
      <c r="CV123" s="108" t="e">
        <f t="shared" si="34"/>
        <v>#DIV/0!</v>
      </c>
      <c r="CW123" s="108" t="e">
        <f t="shared" si="34"/>
        <v>#DIV/0!</v>
      </c>
      <c r="CX123" s="108" t="e">
        <f t="shared" si="34"/>
        <v>#DIV/0!</v>
      </c>
      <c r="CY123" s="108" t="e">
        <f t="shared" si="34"/>
        <v>#DIV/0!</v>
      </c>
      <c r="CZ123" s="108" t="e">
        <f t="shared" si="34"/>
        <v>#DIV/0!</v>
      </c>
      <c r="DA123" s="108" t="e">
        <f t="shared" si="34"/>
        <v>#DIV/0!</v>
      </c>
      <c r="DB123" s="108" t="e">
        <f t="shared" si="34"/>
        <v>#DIV/0!</v>
      </c>
      <c r="DC123" s="108" t="e">
        <f t="shared" si="34"/>
        <v>#DIV/0!</v>
      </c>
      <c r="DD123" s="108" t="e">
        <f t="shared" si="34"/>
        <v>#DIV/0!</v>
      </c>
      <c r="DE123" s="108" t="e">
        <f t="shared" si="34"/>
        <v>#DIV/0!</v>
      </c>
      <c r="DF123" s="108" t="e">
        <f t="shared" si="34"/>
        <v>#DIV/0!</v>
      </c>
      <c r="DG123" s="108" t="e">
        <f t="shared" si="34"/>
        <v>#DIV/0!</v>
      </c>
      <c r="DH123" s="108" t="e">
        <f t="shared" si="34"/>
        <v>#DIV/0!</v>
      </c>
      <c r="DI123" s="108" t="e">
        <f t="shared" si="34"/>
        <v>#DIV/0!</v>
      </c>
      <c r="DJ123" s="108" t="e">
        <f t="shared" si="34"/>
        <v>#DIV/0!</v>
      </c>
      <c r="DK123" s="108" t="e">
        <f t="shared" si="34"/>
        <v>#DIV/0!</v>
      </c>
      <c r="DL123" s="108" t="e">
        <f>AVERAGE(DL36:DM36)</f>
        <v>#DIV/0!</v>
      </c>
      <c r="DM123" s="108" t="e">
        <f>AVERAGE(DM36:DN36)</f>
        <v>#DIV/0!</v>
      </c>
      <c r="DN123" s="108" t="e">
        <f>AVERAGE(DN36:DO36)</f>
        <v>#DIV/0!</v>
      </c>
    </row>
    <row r="124" spans="1:118" s="176" customFormat="1" ht="12.75" customHeight="1" x14ac:dyDescent="0.2">
      <c r="A124" s="10"/>
      <c r="B124" s="175" t="s">
        <v>300</v>
      </c>
      <c r="C124" s="108">
        <f t="shared" ref="C124:BN124" si="35">C36</f>
        <v>0</v>
      </c>
      <c r="D124" s="108"/>
      <c r="E124" s="108">
        <f t="shared" si="35"/>
        <v>27605</v>
      </c>
      <c r="F124" s="108">
        <f t="shared" si="35"/>
        <v>27053</v>
      </c>
      <c r="G124" s="108">
        <f t="shared" si="35"/>
        <v>0</v>
      </c>
      <c r="H124" s="108"/>
      <c r="I124" s="108">
        <f t="shared" si="35"/>
        <v>5740.3029999999999</v>
      </c>
      <c r="J124" s="108">
        <f t="shared" si="35"/>
        <v>4647.5600000000004</v>
      </c>
      <c r="K124" s="108">
        <f t="shared" si="35"/>
        <v>0</v>
      </c>
      <c r="L124" s="108"/>
      <c r="M124" s="108">
        <f t="shared" si="35"/>
        <v>501.52600000000001</v>
      </c>
      <c r="N124" s="108">
        <f t="shared" si="35"/>
        <v>156.21100000000001</v>
      </c>
      <c r="O124" s="108">
        <f t="shared" si="35"/>
        <v>0</v>
      </c>
      <c r="P124" s="108"/>
      <c r="Q124" s="108">
        <f t="shared" si="35"/>
        <v>213240</v>
      </c>
      <c r="R124" s="108">
        <f t="shared" si="35"/>
        <v>199313</v>
      </c>
      <c r="S124" s="108">
        <f t="shared" si="35"/>
        <v>0</v>
      </c>
      <c r="T124" s="108"/>
      <c r="U124" s="108">
        <f t="shared" si="35"/>
        <v>-183.56899999999999</v>
      </c>
      <c r="V124" s="108">
        <f t="shared" si="35"/>
        <v>0</v>
      </c>
      <c r="W124" s="108">
        <f t="shared" si="35"/>
        <v>19091</v>
      </c>
      <c r="X124" s="108">
        <f t="shared" si="35"/>
        <v>15850</v>
      </c>
      <c r="Y124" s="108">
        <f t="shared" si="35"/>
        <v>0</v>
      </c>
      <c r="Z124" s="108"/>
      <c r="AA124" s="108">
        <f t="shared" si="35"/>
        <v>10376.531000000001</v>
      </c>
      <c r="AB124" s="108">
        <f t="shared" si="35"/>
        <v>9509.1759999999995</v>
      </c>
      <c r="AC124" s="108">
        <f t="shared" si="35"/>
        <v>0</v>
      </c>
      <c r="AD124" s="108"/>
      <c r="AE124" s="108">
        <f t="shared" si="35"/>
        <v>6826.9229999999998</v>
      </c>
      <c r="AF124" s="108">
        <f t="shared" si="35"/>
        <v>5738.125</v>
      </c>
      <c r="AG124" s="108">
        <f t="shared" si="35"/>
        <v>0</v>
      </c>
      <c r="AH124" s="108"/>
      <c r="AI124" s="108">
        <f t="shared" si="35"/>
        <v>2825.7809999999999</v>
      </c>
      <c r="AJ124" s="108">
        <f t="shared" si="35"/>
        <v>0</v>
      </c>
      <c r="AK124" s="108">
        <f t="shared" si="35"/>
        <v>0</v>
      </c>
      <c r="AL124" s="108"/>
      <c r="AM124" s="108">
        <f t="shared" si="35"/>
        <v>39661</v>
      </c>
      <c r="AN124" s="108">
        <f t="shared" si="35"/>
        <v>51183</v>
      </c>
      <c r="AO124" s="108">
        <f t="shared" si="35"/>
        <v>0</v>
      </c>
      <c r="AP124" s="108"/>
      <c r="AQ124" s="108">
        <f t="shared" si="35"/>
        <v>3248</v>
      </c>
      <c r="AR124" s="108">
        <f t="shared" si="35"/>
        <v>3210</v>
      </c>
      <c r="AS124" s="108">
        <f t="shared" si="35"/>
        <v>0</v>
      </c>
      <c r="AT124" s="108">
        <f t="shared" si="35"/>
        <v>0</v>
      </c>
      <c r="AU124" s="108">
        <f t="shared" si="35"/>
        <v>0</v>
      </c>
      <c r="AV124" s="108">
        <f t="shared" si="35"/>
        <v>0</v>
      </c>
      <c r="AW124" s="108">
        <f t="shared" si="35"/>
        <v>0</v>
      </c>
      <c r="AX124" s="108">
        <f t="shared" si="35"/>
        <v>0</v>
      </c>
      <c r="AY124" s="108">
        <f t="shared" si="35"/>
        <v>0</v>
      </c>
      <c r="AZ124" s="108">
        <f t="shared" si="35"/>
        <v>0</v>
      </c>
      <c r="BA124" s="108">
        <f t="shared" si="35"/>
        <v>0</v>
      </c>
      <c r="BB124" s="108">
        <f t="shared" si="35"/>
        <v>0</v>
      </c>
      <c r="BC124" s="108">
        <f t="shared" si="35"/>
        <v>0</v>
      </c>
      <c r="BD124" s="108">
        <f t="shared" si="35"/>
        <v>0</v>
      </c>
      <c r="BE124" s="108">
        <f t="shared" si="35"/>
        <v>0</v>
      </c>
      <c r="BF124" s="108">
        <f t="shared" si="35"/>
        <v>0</v>
      </c>
      <c r="BG124" s="108">
        <f t="shared" si="35"/>
        <v>0</v>
      </c>
      <c r="BH124" s="108">
        <f t="shared" si="35"/>
        <v>0</v>
      </c>
      <c r="BI124" s="108">
        <f t="shared" si="35"/>
        <v>0</v>
      </c>
      <c r="BJ124" s="108">
        <f t="shared" si="35"/>
        <v>0</v>
      </c>
      <c r="BK124" s="108">
        <f t="shared" si="35"/>
        <v>0</v>
      </c>
      <c r="BL124" s="108">
        <f t="shared" si="35"/>
        <v>0</v>
      </c>
      <c r="BM124" s="108">
        <f t="shared" si="35"/>
        <v>0</v>
      </c>
      <c r="BN124" s="108">
        <f t="shared" si="35"/>
        <v>0</v>
      </c>
      <c r="BO124" s="108">
        <f t="shared" ref="BO124:DN124" si="36">BO36</f>
        <v>0</v>
      </c>
      <c r="BP124" s="108">
        <f t="shared" si="36"/>
        <v>0</v>
      </c>
      <c r="BQ124" s="108">
        <f t="shared" si="36"/>
        <v>0</v>
      </c>
      <c r="BR124" s="108">
        <f t="shared" si="36"/>
        <v>0</v>
      </c>
      <c r="BS124" s="108">
        <f t="shared" si="36"/>
        <v>0</v>
      </c>
      <c r="BT124" s="108">
        <f t="shared" si="36"/>
        <v>0</v>
      </c>
      <c r="BU124" s="108">
        <f t="shared" si="36"/>
        <v>0</v>
      </c>
      <c r="BV124" s="108">
        <f t="shared" si="36"/>
        <v>0</v>
      </c>
      <c r="BW124" s="108">
        <f t="shared" si="36"/>
        <v>0</v>
      </c>
      <c r="BX124" s="108">
        <f t="shared" si="36"/>
        <v>0</v>
      </c>
      <c r="BY124" s="108">
        <f t="shared" si="36"/>
        <v>0</v>
      </c>
      <c r="BZ124" s="108">
        <f t="shared" si="36"/>
        <v>0</v>
      </c>
      <c r="CA124" s="108">
        <f t="shared" si="36"/>
        <v>0</v>
      </c>
      <c r="CB124" s="108">
        <f t="shared" si="36"/>
        <v>0</v>
      </c>
      <c r="CC124" s="108">
        <f t="shared" si="36"/>
        <v>0</v>
      </c>
      <c r="CD124" s="108">
        <f t="shared" si="36"/>
        <v>0</v>
      </c>
      <c r="CE124" s="108">
        <f t="shared" si="36"/>
        <v>0</v>
      </c>
      <c r="CF124" s="108">
        <f t="shared" si="36"/>
        <v>0</v>
      </c>
      <c r="CG124" s="108">
        <f t="shared" si="36"/>
        <v>0</v>
      </c>
      <c r="CH124" s="108">
        <f t="shared" si="36"/>
        <v>0</v>
      </c>
      <c r="CI124" s="108">
        <f t="shared" si="36"/>
        <v>0</v>
      </c>
      <c r="CJ124" s="108">
        <f t="shared" si="36"/>
        <v>0</v>
      </c>
      <c r="CK124" s="108">
        <f t="shared" si="36"/>
        <v>0</v>
      </c>
      <c r="CL124" s="108">
        <f t="shared" si="36"/>
        <v>0</v>
      </c>
      <c r="CM124" s="108">
        <f t="shared" si="36"/>
        <v>0</v>
      </c>
      <c r="CN124" s="108">
        <f t="shared" si="36"/>
        <v>0</v>
      </c>
      <c r="CO124" s="108">
        <f t="shared" si="36"/>
        <v>0</v>
      </c>
      <c r="CP124" s="108">
        <f t="shared" si="36"/>
        <v>0</v>
      </c>
      <c r="CQ124" s="108">
        <f t="shared" si="36"/>
        <v>0</v>
      </c>
      <c r="CR124" s="108">
        <f t="shared" si="36"/>
        <v>0</v>
      </c>
      <c r="CS124" s="108">
        <f t="shared" si="36"/>
        <v>0</v>
      </c>
      <c r="CT124" s="108">
        <f t="shared" si="36"/>
        <v>0</v>
      </c>
      <c r="CU124" s="108">
        <f t="shared" si="36"/>
        <v>0</v>
      </c>
      <c r="CV124" s="108">
        <f t="shared" si="36"/>
        <v>0</v>
      </c>
      <c r="CW124" s="108">
        <f t="shared" si="36"/>
        <v>0</v>
      </c>
      <c r="CX124" s="108">
        <f t="shared" si="36"/>
        <v>0</v>
      </c>
      <c r="CY124" s="108">
        <f t="shared" si="36"/>
        <v>0</v>
      </c>
      <c r="CZ124" s="108">
        <f t="shared" si="36"/>
        <v>0</v>
      </c>
      <c r="DA124" s="108">
        <f t="shared" si="36"/>
        <v>0</v>
      </c>
      <c r="DB124" s="108">
        <f t="shared" si="36"/>
        <v>0</v>
      </c>
      <c r="DC124" s="108">
        <f t="shared" si="36"/>
        <v>0</v>
      </c>
      <c r="DD124" s="108">
        <f t="shared" si="36"/>
        <v>0</v>
      </c>
      <c r="DE124" s="108">
        <f t="shared" si="36"/>
        <v>0</v>
      </c>
      <c r="DF124" s="108">
        <f t="shared" si="36"/>
        <v>0</v>
      </c>
      <c r="DG124" s="108">
        <f t="shared" si="36"/>
        <v>0</v>
      </c>
      <c r="DH124" s="108">
        <f t="shared" si="36"/>
        <v>0</v>
      </c>
      <c r="DI124" s="108">
        <f t="shared" si="36"/>
        <v>0</v>
      </c>
      <c r="DJ124" s="108">
        <f t="shared" si="36"/>
        <v>0</v>
      </c>
      <c r="DK124" s="108">
        <f t="shared" si="36"/>
        <v>0</v>
      </c>
      <c r="DL124" s="108">
        <f t="shared" si="36"/>
        <v>0</v>
      </c>
      <c r="DM124" s="108">
        <f t="shared" si="36"/>
        <v>0</v>
      </c>
      <c r="DN124" s="108">
        <f t="shared" si="36"/>
        <v>0</v>
      </c>
    </row>
    <row r="125" spans="1:118" s="176" customFormat="1" ht="12.75" customHeight="1" x14ac:dyDescent="0.2">
      <c r="A125" s="10"/>
      <c r="B125" s="175" t="s">
        <v>301</v>
      </c>
      <c r="C125" s="108">
        <f>AVERAGE(C33:E33)+AVERAGE(C34:E34)</f>
        <v>145457</v>
      </c>
      <c r="D125" s="108"/>
      <c r="E125" s="108">
        <f t="shared" ref="E125:BP125" si="37">AVERAGE(E33:F33)+AVERAGE(E34:F34)</f>
        <v>111482.5</v>
      </c>
      <c r="F125" s="108">
        <f t="shared" si="37"/>
        <v>77508</v>
      </c>
      <c r="G125" s="108">
        <f>AVERAGE(G33:I33)+AVERAGE(G34:I34)</f>
        <v>11105</v>
      </c>
      <c r="H125" s="108"/>
      <c r="I125" s="108">
        <f t="shared" si="37"/>
        <v>6405.8334999999997</v>
      </c>
      <c r="J125" s="108">
        <f t="shared" si="37"/>
        <v>1706.6669999999999</v>
      </c>
      <c r="K125" s="108">
        <f>AVERAGE(K33:M33)+AVERAGE(K34:M34)</f>
        <v>2965</v>
      </c>
      <c r="L125" s="108"/>
      <c r="M125" s="108">
        <f t="shared" si="37"/>
        <v>1482.5</v>
      </c>
      <c r="N125" s="108">
        <f t="shared" si="37"/>
        <v>0</v>
      </c>
      <c r="O125" s="108">
        <f>AVERAGE(O33:Q33)+AVERAGE(O34:Q34)</f>
        <v>2201693</v>
      </c>
      <c r="P125" s="108"/>
      <c r="Q125" s="108">
        <f t="shared" si="37"/>
        <v>2177930.5</v>
      </c>
      <c r="R125" s="108">
        <f t="shared" si="37"/>
        <v>2154168</v>
      </c>
      <c r="S125" s="108">
        <f>AVERAGE(S33:U33)+AVERAGE(S34:U34)</f>
        <v>2299</v>
      </c>
      <c r="T125" s="108"/>
      <c r="U125" s="108">
        <f t="shared" si="37"/>
        <v>2299</v>
      </c>
      <c r="V125" s="108">
        <f t="shared" si="37"/>
        <v>36114</v>
      </c>
      <c r="W125" s="108">
        <f t="shared" si="37"/>
        <v>19987.5</v>
      </c>
      <c r="X125" s="108">
        <f t="shared" si="37"/>
        <v>3861</v>
      </c>
      <c r="Y125" s="108">
        <f>AVERAGE(Y33:AA33)+AVERAGE(Y34:AA34)</f>
        <v>77135</v>
      </c>
      <c r="Z125" s="108"/>
      <c r="AA125" s="108">
        <f t="shared" si="37"/>
        <v>71523.281499999997</v>
      </c>
      <c r="AB125" s="108">
        <f t="shared" si="37"/>
        <v>65911.562999999995</v>
      </c>
      <c r="AC125" s="108">
        <f>AVERAGE(AC33:AE33)+AVERAGE(AC34:AE34)</f>
        <v>39224.578000000001</v>
      </c>
      <c r="AD125" s="108"/>
      <c r="AE125" s="108">
        <f t="shared" si="37"/>
        <v>35576.897500000006</v>
      </c>
      <c r="AF125" s="108">
        <f t="shared" si="37"/>
        <v>31929.217000000004</v>
      </c>
      <c r="AG125" s="108">
        <f>AVERAGE(AG33:AI33)+AVERAGE(AG34:AI34)</f>
        <v>13120.286</v>
      </c>
      <c r="AH125" s="108"/>
      <c r="AI125" s="108">
        <f t="shared" si="37"/>
        <v>13120.286</v>
      </c>
      <c r="AJ125" s="108" t="e">
        <f t="shared" si="37"/>
        <v>#DIV/0!</v>
      </c>
      <c r="AK125" s="108">
        <f>AVERAGE(AK33:AM33)+AVERAGE(AK34:AM34)</f>
        <v>6000</v>
      </c>
      <c r="AL125" s="108"/>
      <c r="AM125" s="108">
        <f t="shared" si="37"/>
        <v>10307.5</v>
      </c>
      <c r="AN125" s="108">
        <f t="shared" si="37"/>
        <v>14615</v>
      </c>
      <c r="AO125" s="108">
        <f>AVERAGE(AO33:AQ33)+AVERAGE(AO34:AQ34)</f>
        <v>14131</v>
      </c>
      <c r="AP125" s="108"/>
      <c r="AQ125" s="108">
        <f t="shared" si="37"/>
        <v>10896</v>
      </c>
      <c r="AR125" s="108">
        <f t="shared" si="37"/>
        <v>7661</v>
      </c>
      <c r="AS125" s="108" t="e">
        <f t="shared" si="37"/>
        <v>#DIV/0!</v>
      </c>
      <c r="AT125" s="108" t="e">
        <f t="shared" si="37"/>
        <v>#DIV/0!</v>
      </c>
      <c r="AU125" s="108" t="e">
        <f t="shared" si="37"/>
        <v>#DIV/0!</v>
      </c>
      <c r="AV125" s="108" t="e">
        <f t="shared" si="37"/>
        <v>#DIV/0!</v>
      </c>
      <c r="AW125" s="108" t="e">
        <f t="shared" si="37"/>
        <v>#DIV/0!</v>
      </c>
      <c r="AX125" s="108" t="e">
        <f t="shared" si="37"/>
        <v>#DIV/0!</v>
      </c>
      <c r="AY125" s="108" t="e">
        <f t="shared" si="37"/>
        <v>#DIV/0!</v>
      </c>
      <c r="AZ125" s="108" t="e">
        <f t="shared" si="37"/>
        <v>#DIV/0!</v>
      </c>
      <c r="BA125" s="108" t="e">
        <f t="shared" si="37"/>
        <v>#DIV/0!</v>
      </c>
      <c r="BB125" s="108" t="e">
        <f t="shared" si="37"/>
        <v>#DIV/0!</v>
      </c>
      <c r="BC125" s="108" t="e">
        <f t="shared" si="37"/>
        <v>#DIV/0!</v>
      </c>
      <c r="BD125" s="108" t="e">
        <f t="shared" si="37"/>
        <v>#DIV/0!</v>
      </c>
      <c r="BE125" s="108" t="e">
        <f t="shared" si="37"/>
        <v>#DIV/0!</v>
      </c>
      <c r="BF125" s="108" t="e">
        <f t="shared" si="37"/>
        <v>#DIV/0!</v>
      </c>
      <c r="BG125" s="108" t="e">
        <f t="shared" si="37"/>
        <v>#DIV/0!</v>
      </c>
      <c r="BH125" s="108" t="e">
        <f t="shared" si="37"/>
        <v>#DIV/0!</v>
      </c>
      <c r="BI125" s="108" t="e">
        <f t="shared" si="37"/>
        <v>#DIV/0!</v>
      </c>
      <c r="BJ125" s="108" t="e">
        <f t="shared" si="37"/>
        <v>#DIV/0!</v>
      </c>
      <c r="BK125" s="108" t="e">
        <f t="shared" si="37"/>
        <v>#DIV/0!</v>
      </c>
      <c r="BL125" s="108" t="e">
        <f t="shared" si="37"/>
        <v>#DIV/0!</v>
      </c>
      <c r="BM125" s="108" t="e">
        <f t="shared" si="37"/>
        <v>#DIV/0!</v>
      </c>
      <c r="BN125" s="108" t="e">
        <f t="shared" si="37"/>
        <v>#DIV/0!</v>
      </c>
      <c r="BO125" s="108" t="e">
        <f t="shared" si="37"/>
        <v>#DIV/0!</v>
      </c>
      <c r="BP125" s="108" t="e">
        <f t="shared" si="37"/>
        <v>#DIV/0!</v>
      </c>
      <c r="BQ125" s="108" t="e">
        <f t="shared" ref="BQ125:DK125" si="38">AVERAGE(BQ33:BR33)+AVERAGE(BQ34:BR34)</f>
        <v>#DIV/0!</v>
      </c>
      <c r="BR125" s="108" t="e">
        <f t="shared" si="38"/>
        <v>#DIV/0!</v>
      </c>
      <c r="BS125" s="108" t="e">
        <f t="shared" si="38"/>
        <v>#DIV/0!</v>
      </c>
      <c r="BT125" s="108" t="e">
        <f t="shared" si="38"/>
        <v>#DIV/0!</v>
      </c>
      <c r="BU125" s="108" t="e">
        <f t="shared" si="38"/>
        <v>#DIV/0!</v>
      </c>
      <c r="BV125" s="108" t="e">
        <f t="shared" si="38"/>
        <v>#DIV/0!</v>
      </c>
      <c r="BW125" s="108" t="e">
        <f t="shared" si="38"/>
        <v>#DIV/0!</v>
      </c>
      <c r="BX125" s="108" t="e">
        <f t="shared" si="38"/>
        <v>#DIV/0!</v>
      </c>
      <c r="BY125" s="108" t="e">
        <f t="shared" si="38"/>
        <v>#DIV/0!</v>
      </c>
      <c r="BZ125" s="108" t="e">
        <f t="shared" si="38"/>
        <v>#DIV/0!</v>
      </c>
      <c r="CA125" s="108" t="e">
        <f t="shared" si="38"/>
        <v>#DIV/0!</v>
      </c>
      <c r="CB125" s="108" t="e">
        <f t="shared" si="38"/>
        <v>#DIV/0!</v>
      </c>
      <c r="CC125" s="108" t="e">
        <f t="shared" si="38"/>
        <v>#DIV/0!</v>
      </c>
      <c r="CD125" s="108" t="e">
        <f t="shared" si="38"/>
        <v>#DIV/0!</v>
      </c>
      <c r="CE125" s="108" t="e">
        <f t="shared" si="38"/>
        <v>#DIV/0!</v>
      </c>
      <c r="CF125" s="108" t="e">
        <f t="shared" si="38"/>
        <v>#DIV/0!</v>
      </c>
      <c r="CG125" s="108" t="e">
        <f t="shared" si="38"/>
        <v>#DIV/0!</v>
      </c>
      <c r="CH125" s="108" t="e">
        <f t="shared" si="38"/>
        <v>#DIV/0!</v>
      </c>
      <c r="CI125" s="108" t="e">
        <f t="shared" si="38"/>
        <v>#DIV/0!</v>
      </c>
      <c r="CJ125" s="108" t="e">
        <f t="shared" si="38"/>
        <v>#DIV/0!</v>
      </c>
      <c r="CK125" s="108" t="e">
        <f t="shared" si="38"/>
        <v>#DIV/0!</v>
      </c>
      <c r="CL125" s="108" t="e">
        <f t="shared" si="38"/>
        <v>#DIV/0!</v>
      </c>
      <c r="CM125" s="108" t="e">
        <f t="shared" si="38"/>
        <v>#DIV/0!</v>
      </c>
      <c r="CN125" s="108" t="e">
        <f t="shared" si="38"/>
        <v>#DIV/0!</v>
      </c>
      <c r="CO125" s="108" t="e">
        <f t="shared" si="38"/>
        <v>#DIV/0!</v>
      </c>
      <c r="CP125" s="108" t="e">
        <f t="shared" si="38"/>
        <v>#DIV/0!</v>
      </c>
      <c r="CQ125" s="108" t="e">
        <f t="shared" si="38"/>
        <v>#DIV/0!</v>
      </c>
      <c r="CR125" s="108" t="e">
        <f t="shared" si="38"/>
        <v>#DIV/0!</v>
      </c>
      <c r="CS125" s="108" t="e">
        <f t="shared" si="38"/>
        <v>#DIV/0!</v>
      </c>
      <c r="CT125" s="108" t="e">
        <f t="shared" si="38"/>
        <v>#DIV/0!</v>
      </c>
      <c r="CU125" s="108" t="e">
        <f t="shared" si="38"/>
        <v>#DIV/0!</v>
      </c>
      <c r="CV125" s="108" t="e">
        <f t="shared" si="38"/>
        <v>#DIV/0!</v>
      </c>
      <c r="CW125" s="108" t="e">
        <f t="shared" si="38"/>
        <v>#DIV/0!</v>
      </c>
      <c r="CX125" s="108" t="e">
        <f t="shared" si="38"/>
        <v>#DIV/0!</v>
      </c>
      <c r="CY125" s="108" t="e">
        <f t="shared" si="38"/>
        <v>#DIV/0!</v>
      </c>
      <c r="CZ125" s="108" t="e">
        <f t="shared" si="38"/>
        <v>#DIV/0!</v>
      </c>
      <c r="DA125" s="108" t="e">
        <f t="shared" si="38"/>
        <v>#DIV/0!</v>
      </c>
      <c r="DB125" s="108" t="e">
        <f t="shared" si="38"/>
        <v>#DIV/0!</v>
      </c>
      <c r="DC125" s="108" t="e">
        <f t="shared" si="38"/>
        <v>#DIV/0!</v>
      </c>
      <c r="DD125" s="108" t="e">
        <f t="shared" si="38"/>
        <v>#DIV/0!</v>
      </c>
      <c r="DE125" s="108" t="e">
        <f t="shared" si="38"/>
        <v>#DIV/0!</v>
      </c>
      <c r="DF125" s="108" t="e">
        <f t="shared" si="38"/>
        <v>#DIV/0!</v>
      </c>
      <c r="DG125" s="108" t="e">
        <f t="shared" si="38"/>
        <v>#DIV/0!</v>
      </c>
      <c r="DH125" s="108" t="e">
        <f t="shared" si="38"/>
        <v>#DIV/0!</v>
      </c>
      <c r="DI125" s="108" t="e">
        <f t="shared" si="38"/>
        <v>#DIV/0!</v>
      </c>
      <c r="DJ125" s="108" t="e">
        <f t="shared" si="38"/>
        <v>#DIV/0!</v>
      </c>
      <c r="DK125" s="108" t="e">
        <f t="shared" si="38"/>
        <v>#DIV/0!</v>
      </c>
      <c r="DL125" s="108" t="e">
        <f>AVERAGE(DL33:DM33)+AVERAGE(DL34:DM34)</f>
        <v>#DIV/0!</v>
      </c>
      <c r="DM125" s="108" t="e">
        <f>AVERAGE(DM33:DN33)+AVERAGE(DM34:DN34)</f>
        <v>#DIV/0!</v>
      </c>
      <c r="DN125" s="108" t="e">
        <f>AVERAGE(DN33:DO33)+AVERAGE(DN34:DO34)</f>
        <v>#DIV/0!</v>
      </c>
    </row>
    <row r="126" spans="1:118" s="176" customFormat="1" ht="12.75" customHeight="1" x14ac:dyDescent="0.2">
      <c r="A126" s="10"/>
      <c r="B126" s="175" t="s">
        <v>302</v>
      </c>
      <c r="C126" s="108">
        <f t="shared" ref="C126:AY126" si="39">SUM(C33:C34)</f>
        <v>0</v>
      </c>
      <c r="D126" s="108"/>
      <c r="E126" s="108">
        <f t="shared" si="39"/>
        <v>145457</v>
      </c>
      <c r="F126" s="108">
        <f t="shared" si="39"/>
        <v>77508</v>
      </c>
      <c r="G126" s="108">
        <f t="shared" si="39"/>
        <v>0</v>
      </c>
      <c r="H126" s="108"/>
      <c r="I126" s="108">
        <f t="shared" si="39"/>
        <v>11105</v>
      </c>
      <c r="J126" s="108">
        <f t="shared" si="39"/>
        <v>1706.6669999999999</v>
      </c>
      <c r="K126" s="108">
        <f t="shared" si="39"/>
        <v>0</v>
      </c>
      <c r="L126" s="108"/>
      <c r="M126" s="108">
        <f t="shared" si="39"/>
        <v>2965</v>
      </c>
      <c r="N126" s="108">
        <f t="shared" si="39"/>
        <v>0</v>
      </c>
      <c r="O126" s="108">
        <f t="shared" si="39"/>
        <v>0</v>
      </c>
      <c r="P126" s="108"/>
      <c r="Q126" s="108">
        <f t="shared" si="39"/>
        <v>2201693</v>
      </c>
      <c r="R126" s="108">
        <f t="shared" si="39"/>
        <v>2154168</v>
      </c>
      <c r="S126" s="108">
        <f t="shared" si="39"/>
        <v>0</v>
      </c>
      <c r="T126" s="108"/>
      <c r="U126" s="108">
        <f t="shared" si="39"/>
        <v>2299</v>
      </c>
      <c r="V126" s="108">
        <f t="shared" si="39"/>
        <v>0</v>
      </c>
      <c r="W126" s="108">
        <f t="shared" si="39"/>
        <v>36114</v>
      </c>
      <c r="X126" s="108">
        <f t="shared" si="39"/>
        <v>3861</v>
      </c>
      <c r="Y126" s="108">
        <f t="shared" si="39"/>
        <v>0</v>
      </c>
      <c r="Z126" s="108"/>
      <c r="AA126" s="108">
        <f t="shared" si="39"/>
        <v>77135</v>
      </c>
      <c r="AB126" s="108">
        <f t="shared" si="39"/>
        <v>65911.562999999995</v>
      </c>
      <c r="AC126" s="108">
        <f t="shared" si="39"/>
        <v>0</v>
      </c>
      <c r="AD126" s="108"/>
      <c r="AE126" s="108">
        <f t="shared" si="39"/>
        <v>39224.578000000001</v>
      </c>
      <c r="AF126" s="108">
        <f t="shared" si="39"/>
        <v>31929.217000000004</v>
      </c>
      <c r="AG126" s="108">
        <f t="shared" si="39"/>
        <v>0</v>
      </c>
      <c r="AH126" s="108"/>
      <c r="AI126" s="108">
        <f t="shared" si="39"/>
        <v>13120.286</v>
      </c>
      <c r="AJ126" s="108">
        <f t="shared" si="39"/>
        <v>0</v>
      </c>
      <c r="AK126" s="108">
        <f t="shared" si="39"/>
        <v>0</v>
      </c>
      <c r="AL126" s="108"/>
      <c r="AM126" s="108">
        <f t="shared" si="39"/>
        <v>6000</v>
      </c>
      <c r="AN126" s="108">
        <f t="shared" si="39"/>
        <v>14615</v>
      </c>
      <c r="AO126" s="108">
        <f t="shared" si="39"/>
        <v>0</v>
      </c>
      <c r="AP126" s="108"/>
      <c r="AQ126" s="108">
        <f t="shared" si="39"/>
        <v>14131</v>
      </c>
      <c r="AR126" s="108">
        <f t="shared" si="39"/>
        <v>7661</v>
      </c>
      <c r="AS126" s="108">
        <f t="shared" si="39"/>
        <v>0</v>
      </c>
      <c r="AT126" s="108">
        <f t="shared" si="39"/>
        <v>0</v>
      </c>
      <c r="AU126" s="108">
        <f t="shared" si="39"/>
        <v>0</v>
      </c>
      <c r="AV126" s="108">
        <f t="shared" si="39"/>
        <v>0</v>
      </c>
      <c r="AW126" s="108">
        <f t="shared" si="39"/>
        <v>0</v>
      </c>
      <c r="AX126" s="108">
        <f t="shared" si="39"/>
        <v>0</v>
      </c>
      <c r="AY126" s="108">
        <f t="shared" si="39"/>
        <v>0</v>
      </c>
      <c r="AZ126" s="108">
        <f t="shared" ref="AZ126:DK126" si="40">SUM(AZ33:AZ34)</f>
        <v>0</v>
      </c>
      <c r="BA126" s="108">
        <f t="shared" si="40"/>
        <v>0</v>
      </c>
      <c r="BB126" s="108">
        <f t="shared" si="40"/>
        <v>0</v>
      </c>
      <c r="BC126" s="108">
        <f t="shared" si="40"/>
        <v>0</v>
      </c>
      <c r="BD126" s="108">
        <f t="shared" si="40"/>
        <v>0</v>
      </c>
      <c r="BE126" s="108">
        <f t="shared" si="40"/>
        <v>0</v>
      </c>
      <c r="BF126" s="108">
        <f t="shared" si="40"/>
        <v>0</v>
      </c>
      <c r="BG126" s="108">
        <f t="shared" si="40"/>
        <v>0</v>
      </c>
      <c r="BH126" s="108">
        <f t="shared" si="40"/>
        <v>0</v>
      </c>
      <c r="BI126" s="108">
        <f t="shared" si="40"/>
        <v>0</v>
      </c>
      <c r="BJ126" s="108">
        <f t="shared" si="40"/>
        <v>0</v>
      </c>
      <c r="BK126" s="108">
        <f t="shared" si="40"/>
        <v>0</v>
      </c>
      <c r="BL126" s="108">
        <f t="shared" si="40"/>
        <v>0</v>
      </c>
      <c r="BM126" s="108">
        <f t="shared" si="40"/>
        <v>0</v>
      </c>
      <c r="BN126" s="108">
        <f t="shared" si="40"/>
        <v>0</v>
      </c>
      <c r="BO126" s="108">
        <f t="shared" si="40"/>
        <v>0</v>
      </c>
      <c r="BP126" s="108">
        <f t="shared" si="40"/>
        <v>0</v>
      </c>
      <c r="BQ126" s="108">
        <f t="shared" si="40"/>
        <v>0</v>
      </c>
      <c r="BR126" s="108">
        <f t="shared" si="40"/>
        <v>0</v>
      </c>
      <c r="BS126" s="108">
        <f t="shared" si="40"/>
        <v>0</v>
      </c>
      <c r="BT126" s="108">
        <f t="shared" si="40"/>
        <v>0</v>
      </c>
      <c r="BU126" s="108">
        <f t="shared" si="40"/>
        <v>0</v>
      </c>
      <c r="BV126" s="108">
        <f t="shared" si="40"/>
        <v>0</v>
      </c>
      <c r="BW126" s="108">
        <f t="shared" si="40"/>
        <v>0</v>
      </c>
      <c r="BX126" s="108">
        <f t="shared" si="40"/>
        <v>0</v>
      </c>
      <c r="BY126" s="108">
        <f t="shared" si="40"/>
        <v>0</v>
      </c>
      <c r="BZ126" s="108">
        <f t="shared" si="40"/>
        <v>0</v>
      </c>
      <c r="CA126" s="108">
        <f t="shared" si="40"/>
        <v>0</v>
      </c>
      <c r="CB126" s="108">
        <f t="shared" si="40"/>
        <v>0</v>
      </c>
      <c r="CC126" s="108">
        <f t="shared" si="40"/>
        <v>0</v>
      </c>
      <c r="CD126" s="108">
        <f t="shared" si="40"/>
        <v>0</v>
      </c>
      <c r="CE126" s="108">
        <f t="shared" si="40"/>
        <v>0</v>
      </c>
      <c r="CF126" s="108">
        <f t="shared" si="40"/>
        <v>0</v>
      </c>
      <c r="CG126" s="108">
        <f t="shared" si="40"/>
        <v>0</v>
      </c>
      <c r="CH126" s="108">
        <f t="shared" si="40"/>
        <v>0</v>
      </c>
      <c r="CI126" s="108">
        <f t="shared" si="40"/>
        <v>0</v>
      </c>
      <c r="CJ126" s="108">
        <f t="shared" si="40"/>
        <v>0</v>
      </c>
      <c r="CK126" s="108">
        <f t="shared" si="40"/>
        <v>0</v>
      </c>
      <c r="CL126" s="108">
        <f t="shared" si="40"/>
        <v>0</v>
      </c>
      <c r="CM126" s="108">
        <f t="shared" si="40"/>
        <v>0</v>
      </c>
      <c r="CN126" s="108">
        <f t="shared" si="40"/>
        <v>0</v>
      </c>
      <c r="CO126" s="108">
        <f t="shared" si="40"/>
        <v>0</v>
      </c>
      <c r="CP126" s="108">
        <f t="shared" si="40"/>
        <v>0</v>
      </c>
      <c r="CQ126" s="108">
        <f t="shared" si="40"/>
        <v>0</v>
      </c>
      <c r="CR126" s="108">
        <f t="shared" si="40"/>
        <v>0</v>
      </c>
      <c r="CS126" s="108">
        <f t="shared" si="40"/>
        <v>0</v>
      </c>
      <c r="CT126" s="108">
        <f t="shared" si="40"/>
        <v>0</v>
      </c>
      <c r="CU126" s="108">
        <f t="shared" si="40"/>
        <v>0</v>
      </c>
      <c r="CV126" s="108">
        <f t="shared" si="40"/>
        <v>0</v>
      </c>
      <c r="CW126" s="108">
        <f t="shared" si="40"/>
        <v>0</v>
      </c>
      <c r="CX126" s="108">
        <f t="shared" si="40"/>
        <v>0</v>
      </c>
      <c r="CY126" s="108">
        <f t="shared" si="40"/>
        <v>0</v>
      </c>
      <c r="CZ126" s="108">
        <f t="shared" si="40"/>
        <v>0</v>
      </c>
      <c r="DA126" s="108">
        <f t="shared" si="40"/>
        <v>0</v>
      </c>
      <c r="DB126" s="108">
        <f t="shared" si="40"/>
        <v>0</v>
      </c>
      <c r="DC126" s="108">
        <f t="shared" si="40"/>
        <v>0</v>
      </c>
      <c r="DD126" s="108">
        <f t="shared" si="40"/>
        <v>0</v>
      </c>
      <c r="DE126" s="108">
        <f t="shared" si="40"/>
        <v>0</v>
      </c>
      <c r="DF126" s="108">
        <f t="shared" si="40"/>
        <v>0</v>
      </c>
      <c r="DG126" s="108">
        <f t="shared" si="40"/>
        <v>0</v>
      </c>
      <c r="DH126" s="108">
        <f t="shared" si="40"/>
        <v>0</v>
      </c>
      <c r="DI126" s="108">
        <f t="shared" si="40"/>
        <v>0</v>
      </c>
      <c r="DJ126" s="108">
        <f t="shared" si="40"/>
        <v>0</v>
      </c>
      <c r="DK126" s="108">
        <f t="shared" si="40"/>
        <v>0</v>
      </c>
      <c r="DL126" s="108">
        <f>SUM(DL33:DL34)</f>
        <v>0</v>
      </c>
      <c r="DM126" s="108">
        <f>SUM(DM33:DM34)</f>
        <v>0</v>
      </c>
      <c r="DN126" s="108">
        <f>SUM(DN33:DN34)</f>
        <v>0</v>
      </c>
    </row>
    <row r="127" spans="1:118" ht="12.75" customHeight="1" x14ac:dyDescent="0.2">
      <c r="A127" s="85"/>
      <c r="B127" s="175" t="s">
        <v>303</v>
      </c>
      <c r="C127" s="90">
        <f t="shared" ref="C127:BN128" si="41">C45</f>
        <v>0</v>
      </c>
      <c r="D127" s="88"/>
      <c r="E127" s="90">
        <f t="shared" si="41"/>
        <v>368</v>
      </c>
      <c r="F127" s="90">
        <f t="shared" si="41"/>
        <v>218</v>
      </c>
      <c r="G127" s="90">
        <f t="shared" si="41"/>
        <v>0</v>
      </c>
      <c r="H127" s="88"/>
      <c r="I127" s="90">
        <f t="shared" si="41"/>
        <v>0</v>
      </c>
      <c r="J127" s="90">
        <f t="shared" si="41"/>
        <v>0</v>
      </c>
      <c r="K127" s="90">
        <f t="shared" si="41"/>
        <v>0</v>
      </c>
      <c r="L127" s="88"/>
      <c r="M127" s="90">
        <f t="shared" si="41"/>
        <v>0</v>
      </c>
      <c r="N127" s="90">
        <f t="shared" si="41"/>
        <v>0</v>
      </c>
      <c r="O127" s="90">
        <f t="shared" si="41"/>
        <v>0</v>
      </c>
      <c r="P127" s="88"/>
      <c r="Q127" s="90">
        <f t="shared" si="41"/>
        <v>7931</v>
      </c>
      <c r="R127" s="90">
        <f t="shared" si="41"/>
        <v>10241</v>
      </c>
      <c r="S127" s="90">
        <f t="shared" si="41"/>
        <v>0</v>
      </c>
      <c r="T127" s="88"/>
      <c r="U127" s="90">
        <f t="shared" si="41"/>
        <v>0</v>
      </c>
      <c r="V127" s="90">
        <f t="shared" si="41"/>
        <v>0</v>
      </c>
      <c r="W127" s="90">
        <f t="shared" si="41"/>
        <v>0</v>
      </c>
      <c r="X127" s="90">
        <f t="shared" si="41"/>
        <v>0</v>
      </c>
      <c r="Y127" s="90">
        <f t="shared" si="41"/>
        <v>0</v>
      </c>
      <c r="Z127" s="88"/>
      <c r="AA127" s="90">
        <f t="shared" si="41"/>
        <v>0</v>
      </c>
      <c r="AB127" s="90">
        <f t="shared" si="41"/>
        <v>0</v>
      </c>
      <c r="AC127" s="90">
        <f t="shared" si="41"/>
        <v>0</v>
      </c>
      <c r="AD127" s="88"/>
      <c r="AE127" s="90">
        <f t="shared" si="41"/>
        <v>1006.631</v>
      </c>
      <c r="AF127" s="90">
        <f t="shared" si="41"/>
        <v>818.173</v>
      </c>
      <c r="AG127" s="90">
        <f t="shared" si="41"/>
        <v>0</v>
      </c>
      <c r="AH127" s="88"/>
      <c r="AI127" s="90">
        <f t="shared" si="41"/>
        <v>745</v>
      </c>
      <c r="AJ127" s="90">
        <f t="shared" si="41"/>
        <v>0</v>
      </c>
      <c r="AK127" s="90">
        <f t="shared" si="41"/>
        <v>0</v>
      </c>
      <c r="AL127" s="88"/>
      <c r="AM127" s="90">
        <f t="shared" si="41"/>
        <v>0</v>
      </c>
      <c r="AN127" s="90">
        <f t="shared" si="41"/>
        <v>0</v>
      </c>
      <c r="AO127" s="90">
        <f t="shared" si="41"/>
        <v>0</v>
      </c>
      <c r="AP127" s="88"/>
      <c r="AQ127" s="90">
        <f t="shared" si="41"/>
        <v>0</v>
      </c>
      <c r="AR127" s="90">
        <f t="shared" si="41"/>
        <v>0</v>
      </c>
      <c r="AS127" s="90">
        <f t="shared" si="41"/>
        <v>0</v>
      </c>
      <c r="AT127" s="90">
        <f t="shared" si="41"/>
        <v>0</v>
      </c>
      <c r="AU127" s="90">
        <f t="shared" si="41"/>
        <v>0</v>
      </c>
      <c r="AV127" s="90">
        <f t="shared" si="41"/>
        <v>0</v>
      </c>
      <c r="AW127" s="90">
        <f t="shared" si="41"/>
        <v>0</v>
      </c>
      <c r="AX127" s="90">
        <f t="shared" si="41"/>
        <v>0</v>
      </c>
      <c r="AY127" s="90">
        <f t="shared" si="41"/>
        <v>0</v>
      </c>
      <c r="AZ127" s="90">
        <f t="shared" si="41"/>
        <v>0</v>
      </c>
      <c r="BA127" s="90">
        <f t="shared" si="41"/>
        <v>0</v>
      </c>
      <c r="BB127" s="90">
        <f t="shared" si="41"/>
        <v>0</v>
      </c>
      <c r="BC127" s="90">
        <f t="shared" si="41"/>
        <v>0</v>
      </c>
      <c r="BD127" s="90">
        <f t="shared" si="41"/>
        <v>0</v>
      </c>
      <c r="BE127" s="90">
        <f t="shared" si="41"/>
        <v>0</v>
      </c>
      <c r="BF127" s="90">
        <f t="shared" si="41"/>
        <v>0</v>
      </c>
      <c r="BG127" s="90">
        <f t="shared" si="41"/>
        <v>0</v>
      </c>
      <c r="BH127" s="90">
        <f t="shared" si="41"/>
        <v>0</v>
      </c>
      <c r="BI127" s="90">
        <f t="shared" si="41"/>
        <v>0</v>
      </c>
      <c r="BJ127" s="90">
        <f t="shared" si="41"/>
        <v>0</v>
      </c>
      <c r="BK127" s="90">
        <f t="shared" si="41"/>
        <v>0</v>
      </c>
      <c r="BL127" s="90">
        <f t="shared" si="41"/>
        <v>0</v>
      </c>
      <c r="BM127" s="90">
        <f t="shared" si="41"/>
        <v>0</v>
      </c>
      <c r="BN127" s="90">
        <f t="shared" si="41"/>
        <v>0</v>
      </c>
      <c r="BO127" s="90">
        <f t="shared" ref="BO127:DN128" si="42">BO45</f>
        <v>0</v>
      </c>
      <c r="BP127" s="90">
        <f t="shared" si="42"/>
        <v>0</v>
      </c>
      <c r="BQ127" s="90">
        <f t="shared" si="42"/>
        <v>0</v>
      </c>
      <c r="BR127" s="90">
        <f t="shared" si="42"/>
        <v>0</v>
      </c>
      <c r="BS127" s="90">
        <f t="shared" si="42"/>
        <v>0</v>
      </c>
      <c r="BT127" s="90">
        <f t="shared" si="42"/>
        <v>0</v>
      </c>
      <c r="BU127" s="90">
        <f t="shared" si="42"/>
        <v>0</v>
      </c>
      <c r="BV127" s="90">
        <f t="shared" si="42"/>
        <v>0</v>
      </c>
      <c r="BW127" s="90">
        <f t="shared" si="42"/>
        <v>0</v>
      </c>
      <c r="BX127" s="90">
        <f t="shared" si="42"/>
        <v>0</v>
      </c>
      <c r="BY127" s="90">
        <f t="shared" si="42"/>
        <v>0</v>
      </c>
      <c r="BZ127" s="90">
        <f t="shared" si="42"/>
        <v>0</v>
      </c>
      <c r="CA127" s="90">
        <f t="shared" si="42"/>
        <v>0</v>
      </c>
      <c r="CB127" s="90">
        <f t="shared" si="42"/>
        <v>0</v>
      </c>
      <c r="CC127" s="90">
        <f t="shared" si="42"/>
        <v>0</v>
      </c>
      <c r="CD127" s="90">
        <f t="shared" si="42"/>
        <v>0</v>
      </c>
      <c r="CE127" s="90">
        <f t="shared" si="42"/>
        <v>0</v>
      </c>
      <c r="CF127" s="90">
        <f t="shared" si="42"/>
        <v>0</v>
      </c>
      <c r="CG127" s="90">
        <f t="shared" si="42"/>
        <v>0</v>
      </c>
      <c r="CH127" s="90">
        <f t="shared" si="42"/>
        <v>0</v>
      </c>
      <c r="CI127" s="90">
        <f t="shared" si="42"/>
        <v>0</v>
      </c>
      <c r="CJ127" s="90">
        <f t="shared" si="42"/>
        <v>0</v>
      </c>
      <c r="CK127" s="90">
        <f t="shared" si="42"/>
        <v>0</v>
      </c>
      <c r="CL127" s="90">
        <f t="shared" si="42"/>
        <v>0</v>
      </c>
      <c r="CM127" s="90">
        <f t="shared" si="42"/>
        <v>0</v>
      </c>
      <c r="CN127" s="90">
        <f t="shared" si="42"/>
        <v>0</v>
      </c>
      <c r="CO127" s="90">
        <f t="shared" si="42"/>
        <v>0</v>
      </c>
      <c r="CP127" s="90">
        <f t="shared" si="42"/>
        <v>0</v>
      </c>
      <c r="CQ127" s="90">
        <f t="shared" si="42"/>
        <v>0</v>
      </c>
      <c r="CR127" s="90">
        <f t="shared" si="42"/>
        <v>0</v>
      </c>
      <c r="CS127" s="90">
        <f t="shared" si="42"/>
        <v>0</v>
      </c>
      <c r="CT127" s="90">
        <f t="shared" si="42"/>
        <v>0</v>
      </c>
      <c r="CU127" s="90">
        <f t="shared" si="42"/>
        <v>0</v>
      </c>
      <c r="CV127" s="90">
        <f t="shared" si="42"/>
        <v>0</v>
      </c>
      <c r="CW127" s="90">
        <f t="shared" si="42"/>
        <v>0</v>
      </c>
      <c r="CX127" s="90">
        <f t="shared" si="42"/>
        <v>0</v>
      </c>
      <c r="CY127" s="90">
        <f t="shared" si="42"/>
        <v>0</v>
      </c>
      <c r="CZ127" s="90">
        <f t="shared" si="42"/>
        <v>0</v>
      </c>
      <c r="DA127" s="90">
        <f t="shared" si="42"/>
        <v>0</v>
      </c>
      <c r="DB127" s="90">
        <f t="shared" si="42"/>
        <v>0</v>
      </c>
      <c r="DC127" s="90">
        <f t="shared" si="42"/>
        <v>0</v>
      </c>
      <c r="DD127" s="90">
        <f t="shared" si="42"/>
        <v>0</v>
      </c>
      <c r="DE127" s="90">
        <f t="shared" si="42"/>
        <v>0</v>
      </c>
      <c r="DF127" s="90">
        <f t="shared" si="42"/>
        <v>0</v>
      </c>
      <c r="DG127" s="90">
        <f t="shared" si="42"/>
        <v>0</v>
      </c>
      <c r="DH127" s="90">
        <f t="shared" si="42"/>
        <v>0</v>
      </c>
      <c r="DI127" s="90">
        <f t="shared" si="42"/>
        <v>0</v>
      </c>
      <c r="DJ127" s="90">
        <f t="shared" si="42"/>
        <v>0</v>
      </c>
      <c r="DK127" s="90">
        <f t="shared" si="42"/>
        <v>0</v>
      </c>
      <c r="DL127" s="90">
        <f t="shared" si="42"/>
        <v>0</v>
      </c>
      <c r="DM127" s="90">
        <f t="shared" si="42"/>
        <v>0</v>
      </c>
      <c r="DN127" s="90">
        <f t="shared" si="42"/>
        <v>0</v>
      </c>
    </row>
    <row r="128" spans="1:118" ht="12.75" customHeight="1" x14ac:dyDescent="0.2">
      <c r="A128" s="85"/>
      <c r="B128" s="175" t="s">
        <v>304</v>
      </c>
      <c r="C128" s="90">
        <f t="shared" si="41"/>
        <v>0</v>
      </c>
      <c r="D128" s="88"/>
      <c r="E128" s="90">
        <f t="shared" si="41"/>
        <v>498</v>
      </c>
      <c r="F128" s="90">
        <f t="shared" si="41"/>
        <v>218</v>
      </c>
      <c r="G128" s="90">
        <f t="shared" si="41"/>
        <v>0</v>
      </c>
      <c r="H128" s="88"/>
      <c r="I128" s="90">
        <f t="shared" si="41"/>
        <v>0</v>
      </c>
      <c r="J128" s="90">
        <f t="shared" si="41"/>
        <v>0</v>
      </c>
      <c r="K128" s="90">
        <f t="shared" si="41"/>
        <v>0</v>
      </c>
      <c r="L128" s="88"/>
      <c r="M128" s="90">
        <f t="shared" si="41"/>
        <v>0</v>
      </c>
      <c r="N128" s="90">
        <f t="shared" si="41"/>
        <v>0</v>
      </c>
      <c r="O128" s="90">
        <f t="shared" si="41"/>
        <v>0</v>
      </c>
      <c r="P128" s="88"/>
      <c r="Q128" s="90">
        <f t="shared" si="41"/>
        <v>20320</v>
      </c>
      <c r="R128" s="90">
        <f t="shared" si="41"/>
        <v>12099</v>
      </c>
      <c r="S128" s="90">
        <f t="shared" si="41"/>
        <v>0</v>
      </c>
      <c r="T128" s="88"/>
      <c r="U128" s="90">
        <f t="shared" si="41"/>
        <v>0</v>
      </c>
      <c r="V128" s="90">
        <f t="shared" si="41"/>
        <v>0</v>
      </c>
      <c r="W128" s="90">
        <f t="shared" si="41"/>
        <v>0</v>
      </c>
      <c r="X128" s="90">
        <f t="shared" si="41"/>
        <v>0</v>
      </c>
      <c r="Y128" s="90">
        <f t="shared" si="41"/>
        <v>0</v>
      </c>
      <c r="Z128" s="88"/>
      <c r="AA128" s="90">
        <f t="shared" si="41"/>
        <v>33.116</v>
      </c>
      <c r="AB128" s="90">
        <f t="shared" si="41"/>
        <v>33.116</v>
      </c>
      <c r="AC128" s="90">
        <f t="shared" si="41"/>
        <v>0</v>
      </c>
      <c r="AD128" s="88"/>
      <c r="AE128" s="90">
        <f t="shared" si="41"/>
        <v>1006.631</v>
      </c>
      <c r="AF128" s="90">
        <f t="shared" si="41"/>
        <v>818.173</v>
      </c>
      <c r="AG128" s="90">
        <f t="shared" si="41"/>
        <v>0</v>
      </c>
      <c r="AH128" s="88"/>
      <c r="AI128" s="90">
        <f t="shared" si="41"/>
        <v>745</v>
      </c>
      <c r="AJ128" s="90">
        <f t="shared" si="41"/>
        <v>0</v>
      </c>
      <c r="AK128" s="90">
        <f t="shared" si="41"/>
        <v>0</v>
      </c>
      <c r="AL128" s="88"/>
      <c r="AM128" s="90">
        <f t="shared" si="41"/>
        <v>0</v>
      </c>
      <c r="AN128" s="90">
        <f t="shared" si="41"/>
        <v>0</v>
      </c>
      <c r="AO128" s="90">
        <f t="shared" si="41"/>
        <v>0</v>
      </c>
      <c r="AP128" s="88"/>
      <c r="AQ128" s="90">
        <f t="shared" si="41"/>
        <v>107</v>
      </c>
      <c r="AR128" s="90">
        <f t="shared" si="41"/>
        <v>41</v>
      </c>
      <c r="AS128" s="90">
        <f t="shared" si="41"/>
        <v>0</v>
      </c>
      <c r="AT128" s="90">
        <f t="shared" si="41"/>
        <v>0</v>
      </c>
      <c r="AU128" s="90">
        <f t="shared" si="41"/>
        <v>0</v>
      </c>
      <c r="AV128" s="90">
        <f t="shared" si="41"/>
        <v>0</v>
      </c>
      <c r="AW128" s="90">
        <f t="shared" si="41"/>
        <v>0</v>
      </c>
      <c r="AX128" s="90">
        <f t="shared" si="41"/>
        <v>0</v>
      </c>
      <c r="AY128" s="90">
        <f t="shared" si="41"/>
        <v>0</v>
      </c>
      <c r="AZ128" s="90">
        <f t="shared" si="41"/>
        <v>0</v>
      </c>
      <c r="BA128" s="90">
        <f t="shared" si="41"/>
        <v>0</v>
      </c>
      <c r="BB128" s="90">
        <f t="shared" si="41"/>
        <v>0</v>
      </c>
      <c r="BC128" s="90">
        <f t="shared" si="41"/>
        <v>0</v>
      </c>
      <c r="BD128" s="90">
        <f t="shared" si="41"/>
        <v>0</v>
      </c>
      <c r="BE128" s="90">
        <f t="shared" si="41"/>
        <v>0</v>
      </c>
      <c r="BF128" s="90">
        <f t="shared" si="41"/>
        <v>0</v>
      </c>
      <c r="BG128" s="90">
        <f t="shared" si="41"/>
        <v>0</v>
      </c>
      <c r="BH128" s="90">
        <f t="shared" si="41"/>
        <v>0</v>
      </c>
      <c r="BI128" s="90">
        <f t="shared" si="41"/>
        <v>0</v>
      </c>
      <c r="BJ128" s="90">
        <f t="shared" si="41"/>
        <v>0</v>
      </c>
      <c r="BK128" s="90">
        <f t="shared" si="41"/>
        <v>0</v>
      </c>
      <c r="BL128" s="90">
        <f t="shared" si="41"/>
        <v>0</v>
      </c>
      <c r="BM128" s="90">
        <f t="shared" si="41"/>
        <v>0</v>
      </c>
      <c r="BN128" s="90">
        <f t="shared" si="41"/>
        <v>0</v>
      </c>
      <c r="BO128" s="90">
        <f t="shared" si="42"/>
        <v>0</v>
      </c>
      <c r="BP128" s="90">
        <f t="shared" si="42"/>
        <v>0</v>
      </c>
      <c r="BQ128" s="90">
        <f t="shared" si="42"/>
        <v>0</v>
      </c>
      <c r="BR128" s="90">
        <f t="shared" si="42"/>
        <v>0</v>
      </c>
      <c r="BS128" s="90">
        <f t="shared" si="42"/>
        <v>0</v>
      </c>
      <c r="BT128" s="90">
        <f t="shared" si="42"/>
        <v>0</v>
      </c>
      <c r="BU128" s="90">
        <f t="shared" si="42"/>
        <v>0</v>
      </c>
      <c r="BV128" s="90">
        <f t="shared" si="42"/>
        <v>0</v>
      </c>
      <c r="BW128" s="90">
        <f t="shared" si="42"/>
        <v>0</v>
      </c>
      <c r="BX128" s="90">
        <f t="shared" si="42"/>
        <v>0</v>
      </c>
      <c r="BY128" s="90">
        <f t="shared" si="42"/>
        <v>0</v>
      </c>
      <c r="BZ128" s="90">
        <f t="shared" si="42"/>
        <v>0</v>
      </c>
      <c r="CA128" s="90">
        <f t="shared" si="42"/>
        <v>0</v>
      </c>
      <c r="CB128" s="90">
        <f t="shared" si="42"/>
        <v>0</v>
      </c>
      <c r="CC128" s="90">
        <f t="shared" si="42"/>
        <v>0</v>
      </c>
      <c r="CD128" s="90">
        <f t="shared" si="42"/>
        <v>0</v>
      </c>
      <c r="CE128" s="90">
        <f t="shared" si="42"/>
        <v>0</v>
      </c>
      <c r="CF128" s="90">
        <f t="shared" si="42"/>
        <v>0</v>
      </c>
      <c r="CG128" s="90">
        <f t="shared" si="42"/>
        <v>0</v>
      </c>
      <c r="CH128" s="90">
        <f t="shared" si="42"/>
        <v>0</v>
      </c>
      <c r="CI128" s="90">
        <f t="shared" si="42"/>
        <v>0</v>
      </c>
      <c r="CJ128" s="90">
        <f t="shared" si="42"/>
        <v>0</v>
      </c>
      <c r="CK128" s="90">
        <f t="shared" si="42"/>
        <v>0</v>
      </c>
      <c r="CL128" s="90">
        <f t="shared" si="42"/>
        <v>0</v>
      </c>
      <c r="CM128" s="90">
        <f t="shared" si="42"/>
        <v>0</v>
      </c>
      <c r="CN128" s="90">
        <f t="shared" si="42"/>
        <v>0</v>
      </c>
      <c r="CO128" s="90">
        <f t="shared" si="42"/>
        <v>0</v>
      </c>
      <c r="CP128" s="90">
        <f t="shared" si="42"/>
        <v>0</v>
      </c>
      <c r="CQ128" s="90">
        <f t="shared" si="42"/>
        <v>0</v>
      </c>
      <c r="CR128" s="90">
        <f t="shared" si="42"/>
        <v>0</v>
      </c>
      <c r="CS128" s="90">
        <f t="shared" si="42"/>
        <v>0</v>
      </c>
      <c r="CT128" s="90">
        <f t="shared" si="42"/>
        <v>0</v>
      </c>
      <c r="CU128" s="90">
        <f t="shared" si="42"/>
        <v>0</v>
      </c>
      <c r="CV128" s="90">
        <f t="shared" si="42"/>
        <v>0</v>
      </c>
      <c r="CW128" s="90">
        <f t="shared" si="42"/>
        <v>0</v>
      </c>
      <c r="CX128" s="90">
        <f t="shared" si="42"/>
        <v>0</v>
      </c>
      <c r="CY128" s="90">
        <f t="shared" si="42"/>
        <v>0</v>
      </c>
      <c r="CZ128" s="90">
        <f t="shared" si="42"/>
        <v>0</v>
      </c>
      <c r="DA128" s="90">
        <f t="shared" si="42"/>
        <v>0</v>
      </c>
      <c r="DB128" s="90">
        <f t="shared" si="42"/>
        <v>0</v>
      </c>
      <c r="DC128" s="90">
        <f t="shared" si="42"/>
        <v>0</v>
      </c>
      <c r="DD128" s="90">
        <f t="shared" si="42"/>
        <v>0</v>
      </c>
      <c r="DE128" s="90">
        <f t="shared" si="42"/>
        <v>0</v>
      </c>
      <c r="DF128" s="90">
        <f t="shared" si="42"/>
        <v>0</v>
      </c>
      <c r="DG128" s="90">
        <f t="shared" si="42"/>
        <v>0</v>
      </c>
      <c r="DH128" s="90">
        <f t="shared" si="42"/>
        <v>0</v>
      </c>
      <c r="DI128" s="90">
        <f t="shared" si="42"/>
        <v>0</v>
      </c>
      <c r="DJ128" s="90">
        <f t="shared" si="42"/>
        <v>0</v>
      </c>
      <c r="DK128" s="90">
        <f t="shared" si="42"/>
        <v>0</v>
      </c>
      <c r="DL128" s="90">
        <f t="shared" si="42"/>
        <v>0</v>
      </c>
      <c r="DM128" s="90">
        <f t="shared" si="42"/>
        <v>0</v>
      </c>
      <c r="DN128" s="90">
        <f t="shared" si="42"/>
        <v>0</v>
      </c>
    </row>
    <row r="129" spans="1:118" ht="12.75" customHeight="1" x14ac:dyDescent="0.2">
      <c r="A129" s="74"/>
      <c r="B129" s="175" t="s">
        <v>305</v>
      </c>
      <c r="E129" s="55">
        <f>(E45-F45)/E142</f>
        <v>150</v>
      </c>
      <c r="F129" s="120"/>
      <c r="I129" s="55">
        <f>(I45-J45)/I142</f>
        <v>0</v>
      </c>
      <c r="J129" s="120"/>
      <c r="M129" s="55">
        <f>(M45-N45)/M142</f>
        <v>0</v>
      </c>
      <c r="N129" s="120"/>
      <c r="Q129" s="55">
        <f>(Q45-R45)/Q142</f>
        <v>-2310</v>
      </c>
      <c r="R129" s="120"/>
      <c r="U129" s="55">
        <f>(U45-V45)/U142</f>
        <v>0</v>
      </c>
      <c r="V129" s="55">
        <f>(V45-W45)/V142</f>
        <v>0</v>
      </c>
      <c r="W129" s="55">
        <f>(W45-X45)/W142</f>
        <v>0</v>
      </c>
      <c r="X129" s="120"/>
      <c r="AA129" s="55">
        <f>(AA45-AB45)/AA142</f>
        <v>0</v>
      </c>
      <c r="AB129" s="120"/>
      <c r="AE129" s="55">
        <f>(AE45-AF45)/AE142</f>
        <v>188.45799999999997</v>
      </c>
      <c r="AF129" s="120"/>
      <c r="AI129" s="55">
        <f>(AI45-AJ45)/AI142</f>
        <v>745</v>
      </c>
      <c r="AJ129" s="120"/>
      <c r="AM129" s="55">
        <f>(AM45-AN45)/AM142</f>
        <v>0</v>
      </c>
      <c r="AN129" s="120"/>
      <c r="AQ129" s="55">
        <f>(AQ45-AR45)/AQ142</f>
        <v>0</v>
      </c>
      <c r="AR129" s="120"/>
    </row>
    <row r="130" spans="1:118" ht="12.75" customHeight="1" x14ac:dyDescent="0.2">
      <c r="A130" s="74"/>
      <c r="B130" s="175" t="s">
        <v>306</v>
      </c>
      <c r="C130" s="55" t="e">
        <f>(C46-E46)/C142</f>
        <v>#DIV/0!</v>
      </c>
      <c r="D130" s="55"/>
      <c r="E130" s="55">
        <f>(E46-F46)/E142</f>
        <v>280</v>
      </c>
      <c r="F130" s="55" t="e">
        <f>(F46-G46)/F142</f>
        <v>#DIV/0!</v>
      </c>
      <c r="G130" s="55" t="e">
        <f>(G46-I46)/G142</f>
        <v>#DIV/0!</v>
      </c>
      <c r="H130" s="55"/>
      <c r="I130" s="55">
        <f>(I46-J46)/I142</f>
        <v>0</v>
      </c>
      <c r="J130" s="55" t="e">
        <f>(J46-K46)/J142</f>
        <v>#DIV/0!</v>
      </c>
      <c r="K130" s="55" t="e">
        <f>(K46-M46)/K142</f>
        <v>#DIV/0!</v>
      </c>
      <c r="L130" s="55"/>
      <c r="M130" s="55">
        <f>(M46-N46)/M142</f>
        <v>0</v>
      </c>
      <c r="N130" s="55" t="e">
        <f>(N46-O46)/N142</f>
        <v>#DIV/0!</v>
      </c>
      <c r="O130" s="55" t="e">
        <f>(O46-Q46)/O142</f>
        <v>#DIV/0!</v>
      </c>
      <c r="P130" s="55"/>
      <c r="Q130" s="55">
        <f>(Q46-R46)/Q142</f>
        <v>8221</v>
      </c>
      <c r="R130" s="55" t="e">
        <f>(R46-S46)/R142</f>
        <v>#DIV/0!</v>
      </c>
      <c r="S130" s="55" t="e">
        <f>(S46-U46)/S142</f>
        <v>#DIV/0!</v>
      </c>
      <c r="T130" s="55"/>
      <c r="U130" s="55">
        <f>(U46-V46)/U142</f>
        <v>0</v>
      </c>
      <c r="V130" s="55">
        <f>(V46-W46)/V142</f>
        <v>0</v>
      </c>
      <c r="W130" s="55">
        <f>(W46-X46)/W142</f>
        <v>0</v>
      </c>
      <c r="X130" s="55" t="e">
        <f>(X46-Y46)/X142</f>
        <v>#DIV/0!</v>
      </c>
      <c r="Y130" s="55" t="e">
        <f>(Y46-AA46)/Y142</f>
        <v>#DIV/0!</v>
      </c>
      <c r="Z130" s="55"/>
      <c r="AA130" s="55">
        <f>(AA46-AB46)/AA142</f>
        <v>0</v>
      </c>
      <c r="AB130" s="55" t="e">
        <f>(AB46-AC46)/AB142</f>
        <v>#DIV/0!</v>
      </c>
      <c r="AC130" s="55" t="e">
        <f>(AC46-AE46)/AC142</f>
        <v>#DIV/0!</v>
      </c>
      <c r="AD130" s="55"/>
      <c r="AE130" s="55">
        <f>(AE46-AF46)/AE142</f>
        <v>188.45799999999997</v>
      </c>
      <c r="AF130" s="55" t="e">
        <f>(AF46-AG46)/AF142</f>
        <v>#DIV/0!</v>
      </c>
      <c r="AG130" s="55" t="e">
        <f>(AG46-AI46)/AG142</f>
        <v>#DIV/0!</v>
      </c>
      <c r="AH130" s="55"/>
      <c r="AI130" s="55">
        <f>(AI46-AJ46)/AI142</f>
        <v>745</v>
      </c>
      <c r="AJ130" s="55" t="e">
        <f>(AJ46-AK46)/AJ142</f>
        <v>#DIV/0!</v>
      </c>
      <c r="AK130" s="55" t="e">
        <f>(AK46-AM46)/AK142</f>
        <v>#DIV/0!</v>
      </c>
      <c r="AL130" s="55"/>
      <c r="AM130" s="55">
        <f>(AM46-AN46)/AM142</f>
        <v>0</v>
      </c>
      <c r="AN130" s="55" t="e">
        <f>(AN46-AO46)/AN142</f>
        <v>#DIV/0!</v>
      </c>
      <c r="AO130" s="55" t="e">
        <f>(AO46-AQ46)/AO142</f>
        <v>#DIV/0!</v>
      </c>
      <c r="AP130" s="55"/>
      <c r="AQ130" s="55">
        <f t="shared" ref="AQ130:DB130" si="43">(AQ46-AR46)/AQ142</f>
        <v>66</v>
      </c>
      <c r="AR130" s="55" t="e">
        <f t="shared" si="43"/>
        <v>#DIV/0!</v>
      </c>
      <c r="AS130" s="55" t="e">
        <f t="shared" si="43"/>
        <v>#DIV/0!</v>
      </c>
      <c r="AT130" s="55" t="e">
        <f t="shared" si="43"/>
        <v>#DIV/0!</v>
      </c>
      <c r="AU130" s="55" t="e">
        <f t="shared" si="43"/>
        <v>#DIV/0!</v>
      </c>
      <c r="AV130" s="55" t="e">
        <f t="shared" si="43"/>
        <v>#DIV/0!</v>
      </c>
      <c r="AW130" s="55" t="e">
        <f t="shared" si="43"/>
        <v>#DIV/0!</v>
      </c>
      <c r="AX130" s="55" t="e">
        <f t="shared" si="43"/>
        <v>#DIV/0!</v>
      </c>
      <c r="AY130" s="55" t="e">
        <f t="shared" si="43"/>
        <v>#DIV/0!</v>
      </c>
      <c r="AZ130" s="55" t="e">
        <f t="shared" si="43"/>
        <v>#DIV/0!</v>
      </c>
      <c r="BA130" s="55" t="e">
        <f t="shared" si="43"/>
        <v>#DIV/0!</v>
      </c>
      <c r="BB130" s="55" t="e">
        <f t="shared" si="43"/>
        <v>#DIV/0!</v>
      </c>
      <c r="BC130" s="55" t="e">
        <f t="shared" si="43"/>
        <v>#DIV/0!</v>
      </c>
      <c r="BD130" s="55" t="e">
        <f t="shared" si="43"/>
        <v>#DIV/0!</v>
      </c>
      <c r="BE130" s="55" t="e">
        <f t="shared" si="43"/>
        <v>#DIV/0!</v>
      </c>
      <c r="BF130" s="55" t="e">
        <f t="shared" si="43"/>
        <v>#DIV/0!</v>
      </c>
      <c r="BG130" s="55" t="e">
        <f t="shared" si="43"/>
        <v>#DIV/0!</v>
      </c>
      <c r="BH130" s="55" t="e">
        <f t="shared" si="43"/>
        <v>#DIV/0!</v>
      </c>
      <c r="BI130" s="55" t="e">
        <f t="shared" si="43"/>
        <v>#DIV/0!</v>
      </c>
      <c r="BJ130" s="55" t="e">
        <f t="shared" si="43"/>
        <v>#DIV/0!</v>
      </c>
      <c r="BK130" s="55" t="e">
        <f t="shared" si="43"/>
        <v>#DIV/0!</v>
      </c>
      <c r="BL130" s="55" t="e">
        <f t="shared" si="43"/>
        <v>#DIV/0!</v>
      </c>
      <c r="BM130" s="55" t="e">
        <f t="shared" si="43"/>
        <v>#DIV/0!</v>
      </c>
      <c r="BN130" s="55" t="e">
        <f t="shared" si="43"/>
        <v>#DIV/0!</v>
      </c>
      <c r="BO130" s="55" t="e">
        <f t="shared" si="43"/>
        <v>#DIV/0!</v>
      </c>
      <c r="BP130" s="55" t="e">
        <f t="shared" si="43"/>
        <v>#DIV/0!</v>
      </c>
      <c r="BQ130" s="55" t="e">
        <f t="shared" si="43"/>
        <v>#DIV/0!</v>
      </c>
      <c r="BR130" s="55" t="e">
        <f t="shared" si="43"/>
        <v>#DIV/0!</v>
      </c>
      <c r="BS130" s="55" t="e">
        <f t="shared" si="43"/>
        <v>#DIV/0!</v>
      </c>
      <c r="BT130" s="55" t="e">
        <f t="shared" si="43"/>
        <v>#DIV/0!</v>
      </c>
      <c r="BU130" s="55" t="e">
        <f t="shared" si="43"/>
        <v>#DIV/0!</v>
      </c>
      <c r="BV130" s="55" t="e">
        <f t="shared" si="43"/>
        <v>#DIV/0!</v>
      </c>
      <c r="BW130" s="55" t="e">
        <f t="shared" si="43"/>
        <v>#DIV/0!</v>
      </c>
      <c r="BX130" s="55" t="e">
        <f t="shared" si="43"/>
        <v>#DIV/0!</v>
      </c>
      <c r="BY130" s="55" t="e">
        <f t="shared" si="43"/>
        <v>#DIV/0!</v>
      </c>
      <c r="BZ130" s="55" t="e">
        <f t="shared" si="43"/>
        <v>#DIV/0!</v>
      </c>
      <c r="CA130" s="55" t="e">
        <f t="shared" si="43"/>
        <v>#DIV/0!</v>
      </c>
      <c r="CB130" s="55" t="e">
        <f t="shared" si="43"/>
        <v>#DIV/0!</v>
      </c>
      <c r="CC130" s="55" t="e">
        <f t="shared" si="43"/>
        <v>#DIV/0!</v>
      </c>
      <c r="CD130" s="55" t="e">
        <f t="shared" si="43"/>
        <v>#DIV/0!</v>
      </c>
      <c r="CE130" s="55" t="e">
        <f t="shared" si="43"/>
        <v>#DIV/0!</v>
      </c>
      <c r="CF130" s="55" t="e">
        <f t="shared" si="43"/>
        <v>#DIV/0!</v>
      </c>
      <c r="CG130" s="55" t="e">
        <f t="shared" si="43"/>
        <v>#DIV/0!</v>
      </c>
      <c r="CH130" s="55" t="e">
        <f t="shared" si="43"/>
        <v>#DIV/0!</v>
      </c>
      <c r="CI130" s="55" t="e">
        <f t="shared" si="43"/>
        <v>#DIV/0!</v>
      </c>
      <c r="CJ130" s="55" t="e">
        <f t="shared" si="43"/>
        <v>#DIV/0!</v>
      </c>
      <c r="CK130" s="55" t="e">
        <f t="shared" si="43"/>
        <v>#DIV/0!</v>
      </c>
      <c r="CL130" s="55" t="e">
        <f t="shared" si="43"/>
        <v>#DIV/0!</v>
      </c>
      <c r="CM130" s="55" t="e">
        <f t="shared" si="43"/>
        <v>#DIV/0!</v>
      </c>
      <c r="CN130" s="55" t="e">
        <f t="shared" si="43"/>
        <v>#DIV/0!</v>
      </c>
      <c r="CO130" s="55" t="e">
        <f t="shared" si="43"/>
        <v>#DIV/0!</v>
      </c>
      <c r="CP130" s="55" t="e">
        <f t="shared" si="43"/>
        <v>#DIV/0!</v>
      </c>
      <c r="CQ130" s="55" t="e">
        <f t="shared" si="43"/>
        <v>#DIV/0!</v>
      </c>
      <c r="CR130" s="55" t="e">
        <f t="shared" si="43"/>
        <v>#DIV/0!</v>
      </c>
      <c r="CS130" s="55" t="e">
        <f t="shared" si="43"/>
        <v>#DIV/0!</v>
      </c>
      <c r="CT130" s="55" t="e">
        <f t="shared" si="43"/>
        <v>#DIV/0!</v>
      </c>
      <c r="CU130" s="55" t="e">
        <f t="shared" si="43"/>
        <v>#DIV/0!</v>
      </c>
      <c r="CV130" s="55" t="e">
        <f t="shared" si="43"/>
        <v>#DIV/0!</v>
      </c>
      <c r="CW130" s="55" t="e">
        <f t="shared" si="43"/>
        <v>#DIV/0!</v>
      </c>
      <c r="CX130" s="55" t="e">
        <f t="shared" si="43"/>
        <v>#DIV/0!</v>
      </c>
      <c r="CY130" s="55" t="e">
        <f t="shared" si="43"/>
        <v>#DIV/0!</v>
      </c>
      <c r="CZ130" s="55" t="e">
        <f t="shared" si="43"/>
        <v>#DIV/0!</v>
      </c>
      <c r="DA130" s="55" t="e">
        <f t="shared" si="43"/>
        <v>#DIV/0!</v>
      </c>
      <c r="DB130" s="55" t="e">
        <f t="shared" si="43"/>
        <v>#DIV/0!</v>
      </c>
      <c r="DC130" s="55" t="e">
        <f t="shared" ref="DC130:DN130" si="44">(DC46-DD46)/DC142</f>
        <v>#DIV/0!</v>
      </c>
      <c r="DD130" s="55" t="e">
        <f t="shared" si="44"/>
        <v>#DIV/0!</v>
      </c>
      <c r="DE130" s="55" t="e">
        <f t="shared" si="44"/>
        <v>#DIV/0!</v>
      </c>
      <c r="DF130" s="55" t="e">
        <f t="shared" si="44"/>
        <v>#DIV/0!</v>
      </c>
      <c r="DG130" s="55" t="e">
        <f t="shared" si="44"/>
        <v>#DIV/0!</v>
      </c>
      <c r="DH130" s="55" t="e">
        <f t="shared" si="44"/>
        <v>#DIV/0!</v>
      </c>
      <c r="DI130" s="55" t="e">
        <f t="shared" si="44"/>
        <v>#DIV/0!</v>
      </c>
      <c r="DJ130" s="55" t="e">
        <f t="shared" si="44"/>
        <v>#DIV/0!</v>
      </c>
      <c r="DK130" s="55" t="e">
        <f t="shared" si="44"/>
        <v>#DIV/0!</v>
      </c>
      <c r="DL130" s="55" t="e">
        <f t="shared" si="44"/>
        <v>#DIV/0!</v>
      </c>
      <c r="DM130" s="55" t="e">
        <f t="shared" si="44"/>
        <v>#DIV/0!</v>
      </c>
      <c r="DN130" s="55" t="e">
        <f t="shared" si="44"/>
        <v>#DIV/0!</v>
      </c>
    </row>
    <row r="131" spans="1:118" ht="12.75" customHeight="1" x14ac:dyDescent="0.2">
      <c r="A131" s="85"/>
      <c r="B131" s="85"/>
      <c r="C131" s="91"/>
      <c r="D131" s="92"/>
      <c r="E131" s="85"/>
      <c r="F131" s="85"/>
      <c r="G131" s="91"/>
      <c r="H131" s="92"/>
      <c r="I131" s="85"/>
      <c r="J131" s="85"/>
      <c r="K131" s="91"/>
      <c r="L131" s="92"/>
      <c r="M131" s="85"/>
      <c r="N131" s="85"/>
      <c r="O131" s="91"/>
      <c r="P131" s="92"/>
      <c r="Q131" s="85"/>
      <c r="R131" s="85"/>
      <c r="S131" s="91"/>
      <c r="T131" s="92"/>
      <c r="U131" s="85"/>
      <c r="V131" s="85"/>
      <c r="W131" s="85"/>
      <c r="X131" s="85"/>
      <c r="Y131" s="91"/>
      <c r="Z131" s="92"/>
      <c r="AA131" s="85"/>
      <c r="AB131" s="85"/>
      <c r="AC131" s="91"/>
      <c r="AD131" s="92"/>
      <c r="AE131" s="85"/>
      <c r="AF131" s="85"/>
      <c r="AG131" s="91"/>
      <c r="AH131" s="92"/>
      <c r="AI131" s="85"/>
      <c r="AJ131" s="85"/>
      <c r="AK131" s="91"/>
      <c r="AL131" s="92"/>
      <c r="AM131" s="85"/>
      <c r="AN131" s="85"/>
      <c r="AO131" s="91"/>
      <c r="AP131" s="92"/>
      <c r="AQ131" s="85"/>
      <c r="AR131" s="85"/>
      <c r="AS131" s="85"/>
    </row>
    <row r="132" spans="1:118" ht="12.75" customHeight="1" x14ac:dyDescent="0.2">
      <c r="A132" s="85"/>
      <c r="B132" s="85"/>
      <c r="C132" s="91"/>
      <c r="D132" s="92"/>
      <c r="E132" s="85"/>
      <c r="F132" s="85"/>
      <c r="G132" s="91"/>
      <c r="H132" s="92"/>
      <c r="I132" s="85"/>
      <c r="J132" s="85"/>
      <c r="K132" s="91"/>
      <c r="L132" s="92"/>
      <c r="M132" s="85"/>
      <c r="N132" s="85"/>
      <c r="O132" s="91"/>
      <c r="P132" s="92"/>
      <c r="Q132" s="85"/>
      <c r="R132" s="85"/>
      <c r="S132" s="91"/>
      <c r="T132" s="92"/>
      <c r="U132" s="85"/>
      <c r="V132" s="85"/>
      <c r="W132" s="85"/>
      <c r="X132" s="85"/>
      <c r="Y132" s="91"/>
      <c r="Z132" s="92"/>
      <c r="AA132" s="85"/>
      <c r="AB132" s="85"/>
      <c r="AC132" s="91"/>
      <c r="AD132" s="92"/>
      <c r="AE132" s="85"/>
      <c r="AF132" s="85"/>
      <c r="AG132" s="91"/>
      <c r="AH132" s="92"/>
      <c r="AI132" s="85"/>
      <c r="AJ132" s="85"/>
      <c r="AK132" s="91"/>
      <c r="AL132" s="92"/>
      <c r="AM132" s="85"/>
      <c r="AN132" s="85"/>
      <c r="AO132" s="91"/>
      <c r="AP132" s="92"/>
      <c r="AQ132" s="85"/>
      <c r="AR132" s="85"/>
      <c r="AS132" s="85"/>
    </row>
    <row r="133" spans="1:118" ht="12.75" customHeight="1" x14ac:dyDescent="0.2">
      <c r="B133" s="65"/>
      <c r="E133" s="150"/>
      <c r="F133" s="150"/>
      <c r="I133" s="150"/>
      <c r="J133" s="150"/>
      <c r="M133" s="150"/>
      <c r="N133" s="150"/>
      <c r="Q133" s="150"/>
      <c r="R133" s="150"/>
      <c r="U133" s="150"/>
      <c r="V133" s="150"/>
      <c r="W133" s="150"/>
      <c r="X133" s="150"/>
      <c r="AA133" s="150"/>
      <c r="AB133" s="150"/>
      <c r="AE133" s="150"/>
      <c r="AF133" s="150"/>
      <c r="AI133" s="150"/>
      <c r="AJ133" s="150"/>
      <c r="AM133" s="150"/>
      <c r="AN133" s="150"/>
      <c r="AQ133" s="150"/>
      <c r="AR133" s="150"/>
    </row>
    <row r="134" spans="1:118" ht="12.75" customHeight="1" x14ac:dyDescent="0.2">
      <c r="A134" s="74"/>
      <c r="E134" s="8"/>
      <c r="F134" s="120"/>
      <c r="I134" s="8"/>
      <c r="J134" s="120"/>
      <c r="M134" s="8"/>
      <c r="N134" s="120"/>
      <c r="Q134" s="8"/>
      <c r="R134" s="120"/>
      <c r="U134" s="8"/>
      <c r="V134" s="8"/>
      <c r="W134" s="8"/>
      <c r="X134" s="120"/>
      <c r="AA134" s="8"/>
      <c r="AB134" s="120"/>
      <c r="AE134" s="8"/>
      <c r="AF134" s="120"/>
      <c r="AI134" s="8"/>
      <c r="AJ134" s="120"/>
      <c r="AM134" s="8"/>
      <c r="AN134" s="120"/>
      <c r="AQ134" s="8"/>
      <c r="AR134" s="120"/>
    </row>
    <row r="135" spans="1:118" ht="12.75" customHeight="1" x14ac:dyDescent="0.2">
      <c r="A135" s="161"/>
      <c r="E135" s="177"/>
      <c r="F135" s="177"/>
      <c r="I135" s="177"/>
      <c r="J135" s="177"/>
      <c r="M135" s="177"/>
      <c r="N135" s="177"/>
      <c r="Q135" s="177"/>
      <c r="R135" s="177"/>
      <c r="U135" s="177"/>
      <c r="V135" s="177"/>
      <c r="W135" s="177"/>
      <c r="X135" s="177"/>
      <c r="AA135" s="177"/>
      <c r="AB135" s="177"/>
      <c r="AE135" s="177"/>
      <c r="AF135" s="177"/>
      <c r="AI135" s="177"/>
      <c r="AJ135" s="177"/>
      <c r="AM135" s="177"/>
      <c r="AN135" s="177"/>
      <c r="AQ135" s="177"/>
      <c r="AR135" s="177"/>
    </row>
    <row r="136" spans="1:118" s="27" customFormat="1" ht="15.75" x14ac:dyDescent="0.25">
      <c r="A136" s="201" t="s">
        <v>307</v>
      </c>
      <c r="B136" s="178"/>
      <c r="C136" s="23"/>
      <c r="D136" s="23"/>
      <c r="E136" s="180"/>
      <c r="F136" s="180"/>
      <c r="G136" s="23"/>
      <c r="H136" s="23"/>
      <c r="I136" s="180"/>
      <c r="J136" s="180"/>
      <c r="K136" s="23"/>
      <c r="L136" s="23"/>
      <c r="M136" s="180"/>
      <c r="N136" s="180"/>
      <c r="O136" s="23"/>
      <c r="P136" s="23"/>
      <c r="Q136" s="180"/>
      <c r="R136" s="180"/>
      <c r="S136" s="23"/>
      <c r="T136" s="23"/>
      <c r="U136" s="180"/>
      <c r="V136" s="180"/>
      <c r="W136" s="180"/>
      <c r="X136" s="180"/>
      <c r="Y136" s="23"/>
      <c r="Z136" s="23"/>
      <c r="AA136" s="180"/>
      <c r="AB136" s="180"/>
      <c r="AC136" s="23"/>
      <c r="AD136" s="23"/>
      <c r="AE136" s="180"/>
      <c r="AF136" s="180"/>
      <c r="AG136" s="23"/>
      <c r="AH136" s="23"/>
      <c r="AI136" s="180"/>
      <c r="AJ136" s="180"/>
      <c r="AK136" s="23"/>
      <c r="AL136" s="23"/>
      <c r="AM136" s="180"/>
      <c r="AN136" s="180"/>
      <c r="AO136" s="23"/>
      <c r="AP136" s="23"/>
      <c r="AQ136" s="180"/>
      <c r="AR136" s="180"/>
      <c r="AS136" s="23"/>
    </row>
    <row r="137" spans="1:118" ht="12.75" customHeight="1" x14ac:dyDescent="0.2">
      <c r="A137" s="161"/>
      <c r="E137" s="177"/>
      <c r="F137" s="177"/>
      <c r="I137" s="177"/>
      <c r="J137" s="177"/>
      <c r="M137" s="177"/>
      <c r="N137" s="177"/>
      <c r="Q137" s="177"/>
      <c r="R137" s="177"/>
      <c r="U137" s="177"/>
      <c r="V137" s="177"/>
      <c r="W137" s="177"/>
      <c r="X137" s="177"/>
      <c r="AA137" s="177"/>
      <c r="AB137" s="177"/>
      <c r="AE137" s="177"/>
      <c r="AF137" s="177"/>
      <c r="AI137" s="177"/>
      <c r="AJ137" s="177"/>
      <c r="AM137" s="177"/>
      <c r="AN137" s="177"/>
      <c r="AQ137" s="177"/>
      <c r="AR137" s="177"/>
    </row>
    <row r="138" spans="1:118" ht="12.75" customHeight="1" x14ac:dyDescent="0.2">
      <c r="A138" s="161"/>
      <c r="E138" s="177"/>
      <c r="F138" s="177"/>
      <c r="I138" s="177"/>
      <c r="J138" s="177"/>
      <c r="M138" s="177"/>
      <c r="N138" s="177"/>
      <c r="Q138" s="177"/>
      <c r="R138" s="177"/>
      <c r="U138" s="177"/>
      <c r="V138" s="177"/>
      <c r="W138" s="177"/>
      <c r="X138" s="177"/>
      <c r="AA138" s="177"/>
      <c r="AB138" s="177"/>
      <c r="AE138" s="177"/>
      <c r="AF138" s="177"/>
      <c r="AI138" s="177"/>
      <c r="AJ138" s="177"/>
      <c r="AM138" s="177"/>
      <c r="AN138" s="177"/>
      <c r="AQ138" s="177"/>
      <c r="AR138" s="177"/>
    </row>
    <row r="139" spans="1:118" ht="12.75" customHeight="1" x14ac:dyDescent="0.2">
      <c r="A139" s="13" t="s">
        <v>308</v>
      </c>
      <c r="E139" s="202">
        <v>2004.5</v>
      </c>
      <c r="F139" s="203"/>
      <c r="I139" s="202">
        <v>2004.25</v>
      </c>
      <c r="J139" s="203"/>
      <c r="M139" s="202">
        <v>2004.25</v>
      </c>
      <c r="N139" s="203"/>
      <c r="Q139" s="202">
        <v>2004.75</v>
      </c>
      <c r="R139" s="203"/>
      <c r="U139" s="202">
        <v>2004.5</v>
      </c>
      <c r="V139" s="202">
        <v>2004.3333333333333</v>
      </c>
      <c r="W139" s="202">
        <v>2003.5</v>
      </c>
      <c r="X139" s="203"/>
      <c r="AA139" s="202">
        <v>2004.25</v>
      </c>
      <c r="AB139" s="203"/>
      <c r="AE139" s="202">
        <v>2004.25</v>
      </c>
      <c r="AF139" s="203"/>
      <c r="AI139" s="202">
        <v>2004.25</v>
      </c>
      <c r="AJ139" s="203"/>
      <c r="AM139" s="202">
        <v>2004.5833333333333</v>
      </c>
      <c r="AN139" s="203"/>
      <c r="AQ139" s="202">
        <v>2004.5</v>
      </c>
      <c r="AR139" s="203"/>
    </row>
    <row r="140" spans="1:118" ht="12.75" customHeight="1" x14ac:dyDescent="0.2">
      <c r="A140" s="13" t="s">
        <v>309</v>
      </c>
      <c r="E140" s="202">
        <v>2004</v>
      </c>
      <c r="F140" s="203"/>
      <c r="I140" s="202">
        <v>2003.75</v>
      </c>
      <c r="J140" s="203"/>
      <c r="M140" s="202">
        <v>2003.75</v>
      </c>
      <c r="N140" s="203"/>
      <c r="Q140" s="202">
        <v>2004.25</v>
      </c>
      <c r="R140" s="203"/>
      <c r="U140" s="202">
        <v>2004.415</v>
      </c>
      <c r="V140" s="202">
        <v>2003.9133333333332</v>
      </c>
      <c r="W140" s="202">
        <v>2002.875</v>
      </c>
      <c r="X140" s="203"/>
      <c r="AA140" s="202">
        <v>2003.75</v>
      </c>
      <c r="AB140" s="203"/>
      <c r="AE140" s="202">
        <v>2003.75</v>
      </c>
      <c r="AF140" s="203"/>
      <c r="AI140" s="202">
        <v>2003.75</v>
      </c>
      <c r="AJ140" s="203"/>
      <c r="AM140" s="202">
        <v>2004.0833333333333</v>
      </c>
      <c r="AN140" s="203"/>
      <c r="AQ140" s="202">
        <v>2004</v>
      </c>
      <c r="AR140" s="203"/>
    </row>
    <row r="141" spans="1:118" s="186" customFormat="1" ht="12.75" customHeight="1" x14ac:dyDescent="0.2">
      <c r="A141" s="182" t="s">
        <v>310</v>
      </c>
      <c r="B141" s="183"/>
      <c r="C141" s="184"/>
      <c r="D141" s="185"/>
      <c r="E141" s="182">
        <v>2004</v>
      </c>
      <c r="F141" s="182"/>
      <c r="G141" s="184"/>
      <c r="H141" s="185"/>
      <c r="I141" s="182">
        <v>2003</v>
      </c>
      <c r="J141" s="182"/>
      <c r="K141" s="184"/>
      <c r="L141" s="185"/>
      <c r="M141" s="182">
        <v>2003</v>
      </c>
      <c r="N141" s="182"/>
      <c r="O141" s="184"/>
      <c r="P141" s="185"/>
      <c r="Q141" s="182">
        <v>2004</v>
      </c>
      <c r="R141" s="182"/>
      <c r="S141" s="184"/>
      <c r="T141" s="185"/>
      <c r="U141" s="182">
        <v>2004</v>
      </c>
      <c r="V141" s="182">
        <v>2003</v>
      </c>
      <c r="W141" s="182">
        <v>2003</v>
      </c>
      <c r="X141" s="182"/>
      <c r="Y141" s="184"/>
      <c r="Z141" s="185"/>
      <c r="AA141" s="182">
        <v>2003</v>
      </c>
      <c r="AB141" s="182"/>
      <c r="AC141" s="184"/>
      <c r="AD141" s="185"/>
      <c r="AE141" s="182">
        <v>2003</v>
      </c>
      <c r="AF141" s="182"/>
      <c r="AG141" s="184"/>
      <c r="AH141" s="185"/>
      <c r="AI141" s="182">
        <v>2003</v>
      </c>
      <c r="AJ141" s="182"/>
      <c r="AK141" s="184"/>
      <c r="AL141" s="185"/>
      <c r="AM141" s="182">
        <v>2004</v>
      </c>
      <c r="AN141" s="182"/>
      <c r="AO141" s="184"/>
      <c r="AP141" s="185"/>
      <c r="AQ141" s="182">
        <v>2004</v>
      </c>
      <c r="AR141" s="182"/>
      <c r="AS141" s="182"/>
    </row>
    <row r="142" spans="1:118" ht="12.75" customHeight="1" x14ac:dyDescent="0.2">
      <c r="A142" s="13" t="s">
        <v>311</v>
      </c>
      <c r="E142" s="202">
        <v>1</v>
      </c>
      <c r="F142" s="203"/>
      <c r="I142" s="202">
        <v>1</v>
      </c>
      <c r="J142" s="203"/>
      <c r="M142" s="202">
        <v>1</v>
      </c>
      <c r="N142" s="203"/>
      <c r="Q142" s="202">
        <v>1</v>
      </c>
      <c r="R142" s="203"/>
      <c r="U142" s="202">
        <v>0.17</v>
      </c>
      <c r="V142" s="202">
        <v>0.84</v>
      </c>
      <c r="W142" s="202">
        <v>1.25</v>
      </c>
      <c r="X142" s="203"/>
      <c r="AA142" s="202">
        <v>1</v>
      </c>
      <c r="AB142" s="203"/>
      <c r="AE142" s="202">
        <v>1</v>
      </c>
      <c r="AF142" s="203"/>
      <c r="AI142" s="202">
        <v>1</v>
      </c>
      <c r="AJ142" s="203"/>
      <c r="AM142" s="202">
        <v>1</v>
      </c>
      <c r="AN142" s="203"/>
      <c r="AQ142" s="202">
        <v>1</v>
      </c>
      <c r="AR142" s="203"/>
    </row>
    <row r="143" spans="1:118" ht="12.75" customHeight="1" x14ac:dyDescent="0.2">
      <c r="A143" s="187"/>
      <c r="B143" s="188"/>
      <c r="C143" s="191"/>
      <c r="D143" s="192"/>
      <c r="E143" s="190"/>
      <c r="F143" s="190"/>
      <c r="G143" s="191"/>
      <c r="H143" s="192"/>
      <c r="I143" s="190"/>
      <c r="J143" s="190"/>
      <c r="K143" s="191"/>
      <c r="L143" s="192"/>
      <c r="M143" s="190"/>
      <c r="N143" s="190"/>
      <c r="O143" s="191"/>
      <c r="P143" s="192"/>
      <c r="Q143" s="190"/>
      <c r="R143" s="190"/>
      <c r="S143" s="191"/>
      <c r="T143" s="192"/>
      <c r="U143" s="190"/>
      <c r="V143" s="210"/>
      <c r="W143" s="190"/>
      <c r="X143" s="190"/>
      <c r="Y143" s="191"/>
      <c r="Z143" s="192"/>
      <c r="AA143" s="190"/>
      <c r="AB143" s="190"/>
      <c r="AC143" s="191"/>
      <c r="AD143" s="192"/>
      <c r="AE143" s="190"/>
      <c r="AF143" s="190"/>
      <c r="AG143" s="191"/>
      <c r="AH143" s="192"/>
      <c r="AI143" s="190"/>
      <c r="AJ143" s="190"/>
      <c r="AK143" s="191"/>
      <c r="AL143" s="192"/>
      <c r="AM143" s="190"/>
      <c r="AN143" s="190"/>
      <c r="AO143" s="191"/>
      <c r="AP143" s="192"/>
      <c r="AQ143" s="190"/>
      <c r="AR143" s="190"/>
      <c r="AS143" s="187"/>
    </row>
    <row r="144" spans="1:118" ht="12.75" customHeight="1" x14ac:dyDescent="0.2">
      <c r="A144" s="187"/>
      <c r="B144" s="188"/>
      <c r="C144" s="191"/>
      <c r="D144" s="192"/>
      <c r="E144" s="190"/>
      <c r="F144" s="190"/>
      <c r="G144" s="191"/>
      <c r="H144" s="192"/>
      <c r="I144" s="190"/>
      <c r="J144" s="190"/>
      <c r="K144" s="191"/>
      <c r="L144" s="192"/>
      <c r="M144" s="190"/>
      <c r="N144" s="190"/>
      <c r="O144" s="191"/>
      <c r="P144" s="192"/>
      <c r="Q144" s="190"/>
      <c r="R144" s="190"/>
      <c r="S144" s="191"/>
      <c r="T144" s="192"/>
      <c r="U144" s="190"/>
      <c r="V144" s="190"/>
      <c r="W144" s="190"/>
      <c r="X144" s="190"/>
      <c r="Y144" s="191"/>
      <c r="Z144" s="192"/>
      <c r="AA144" s="190"/>
      <c r="AB144" s="190"/>
      <c r="AC144" s="191"/>
      <c r="AD144" s="192"/>
      <c r="AE144" s="190"/>
      <c r="AF144" s="190"/>
      <c r="AG144" s="191"/>
      <c r="AH144" s="192"/>
      <c r="AI144" s="190"/>
      <c r="AJ144" s="190"/>
      <c r="AK144" s="191"/>
      <c r="AL144" s="192"/>
      <c r="AM144" s="190"/>
      <c r="AN144" s="190"/>
      <c r="AO144" s="191"/>
      <c r="AP144" s="192"/>
      <c r="AQ144" s="190"/>
      <c r="AR144" s="190"/>
      <c r="AS144" s="187"/>
    </row>
    <row r="145" spans="1:45" ht="12.75" customHeight="1" x14ac:dyDescent="0.2">
      <c r="A145" s="4"/>
      <c r="B145" s="116"/>
      <c r="E145" s="111"/>
      <c r="F145" s="111"/>
      <c r="I145" s="111"/>
      <c r="J145" s="111"/>
      <c r="M145" s="111"/>
      <c r="N145" s="111"/>
      <c r="Q145" s="111"/>
      <c r="R145" s="111"/>
      <c r="U145" s="111"/>
      <c r="V145" s="111"/>
      <c r="W145" s="111"/>
      <c r="X145" s="111"/>
      <c r="AA145" s="111"/>
      <c r="AB145" s="111"/>
      <c r="AE145" s="111"/>
      <c r="AF145" s="111"/>
      <c r="AI145" s="111"/>
      <c r="AJ145" s="111"/>
      <c r="AM145" s="111"/>
      <c r="AN145" s="111"/>
      <c r="AQ145" s="111"/>
      <c r="AR145" s="111"/>
    </row>
    <row r="146" spans="1:45" ht="12.75" customHeight="1" x14ac:dyDescent="0.2">
      <c r="A146" s="194"/>
      <c r="B146" s="194" t="s">
        <v>313</v>
      </c>
      <c r="C146" s="195"/>
      <c r="D146" s="196"/>
      <c r="E146" s="194"/>
      <c r="F146" s="194"/>
      <c r="G146" s="195"/>
      <c r="H146" s="196"/>
      <c r="I146" s="103">
        <v>1012.792</v>
      </c>
      <c r="J146" s="103">
        <v>1012.792</v>
      </c>
      <c r="K146" s="195"/>
      <c r="L146" s="196"/>
      <c r="M146" s="194"/>
      <c r="N146" s="194"/>
      <c r="O146" s="195"/>
      <c r="P146" s="196"/>
      <c r="Q146" s="194"/>
      <c r="R146" s="194"/>
      <c r="S146" s="195"/>
      <c r="T146" s="196"/>
      <c r="U146" s="194"/>
      <c r="V146" s="194"/>
      <c r="W146" s="194"/>
      <c r="X146" s="194"/>
      <c r="Y146" s="195"/>
      <c r="Z146" s="196"/>
      <c r="AA146" s="194"/>
      <c r="AB146" s="194"/>
      <c r="AC146" s="195"/>
      <c r="AD146" s="196"/>
      <c r="AE146" s="194"/>
      <c r="AF146" s="194"/>
      <c r="AG146" s="195"/>
      <c r="AH146" s="196"/>
      <c r="AI146" s="194"/>
      <c r="AJ146" s="194"/>
      <c r="AK146" s="195"/>
      <c r="AL146" s="196"/>
      <c r="AM146" s="194"/>
      <c r="AN146" s="194"/>
      <c r="AO146" s="195"/>
      <c r="AP146" s="196"/>
      <c r="AQ146" s="194"/>
      <c r="AR146" s="194"/>
      <c r="AS146" s="194"/>
    </row>
    <row r="147" spans="1:45" ht="12.75" customHeight="1" x14ac:dyDescent="0.2">
      <c r="A147" s="194"/>
      <c r="B147" s="194" t="s">
        <v>324</v>
      </c>
      <c r="C147" s="195"/>
      <c r="D147" s="196"/>
      <c r="E147" s="194"/>
      <c r="F147" s="194"/>
      <c r="G147" s="195"/>
      <c r="H147" s="196"/>
      <c r="I147" s="103">
        <f>3819.843</f>
        <v>3819.8429999999998</v>
      </c>
      <c r="J147" s="103">
        <v>4794.384</v>
      </c>
      <c r="K147" s="195"/>
      <c r="L147" s="196"/>
      <c r="M147" s="194"/>
      <c r="N147" s="194"/>
      <c r="O147" s="195"/>
      <c r="P147" s="196"/>
      <c r="Q147" s="194"/>
      <c r="R147" s="194"/>
      <c r="S147" s="195"/>
      <c r="T147" s="196"/>
      <c r="U147" s="194"/>
      <c r="V147" s="194"/>
      <c r="W147" s="194"/>
      <c r="X147" s="194"/>
      <c r="Y147" s="195"/>
      <c r="Z147" s="196"/>
      <c r="AA147" s="194"/>
      <c r="AB147" s="194"/>
      <c r="AC147" s="195"/>
      <c r="AD147" s="196"/>
      <c r="AE147" s="194"/>
      <c r="AF147" s="194"/>
      <c r="AG147" s="195"/>
      <c r="AH147" s="196"/>
      <c r="AI147" s="194"/>
      <c r="AJ147" s="194"/>
      <c r="AK147" s="195"/>
      <c r="AL147" s="196"/>
      <c r="AM147" s="194"/>
      <c r="AN147" s="194"/>
      <c r="AO147" s="195"/>
      <c r="AP147" s="196"/>
      <c r="AQ147" s="194"/>
      <c r="AR147" s="194"/>
      <c r="AS147" s="194"/>
    </row>
    <row r="148" spans="1:45" ht="12.75" customHeight="1" x14ac:dyDescent="0.2">
      <c r="A148" s="194"/>
      <c r="B148" s="194" t="s">
        <v>331</v>
      </c>
      <c r="C148" s="195"/>
      <c r="D148" s="196"/>
      <c r="E148" s="194"/>
      <c r="F148" s="194"/>
      <c r="G148" s="195"/>
      <c r="H148" s="196"/>
      <c r="I148" s="103">
        <v>812.12599999999998</v>
      </c>
      <c r="J148" s="103">
        <v>2460.1149999999998</v>
      </c>
      <c r="K148" s="195"/>
      <c r="L148" s="196"/>
      <c r="M148" s="194"/>
      <c r="N148" s="194"/>
      <c r="O148" s="195"/>
      <c r="P148" s="196"/>
      <c r="Q148" s="194"/>
      <c r="R148" s="194"/>
      <c r="S148" s="195"/>
      <c r="T148" s="196"/>
      <c r="U148" s="194"/>
      <c r="V148" s="194"/>
      <c r="W148" s="194"/>
      <c r="X148" s="194"/>
      <c r="Y148" s="195"/>
      <c r="Z148" s="196"/>
      <c r="AA148" s="194"/>
      <c r="AB148" s="194"/>
      <c r="AC148" s="195"/>
      <c r="AD148" s="196"/>
      <c r="AE148" s="194"/>
      <c r="AF148" s="194"/>
      <c r="AG148" s="195"/>
      <c r="AH148" s="196"/>
      <c r="AI148" s="194"/>
      <c r="AJ148" s="194"/>
      <c r="AK148" s="195"/>
      <c r="AL148" s="196"/>
      <c r="AM148" s="194"/>
      <c r="AN148" s="194"/>
      <c r="AO148" s="195"/>
      <c r="AP148" s="196"/>
      <c r="AQ148" s="194"/>
      <c r="AR148" s="194"/>
      <c r="AS148" s="194"/>
    </row>
    <row r="149" spans="1:45" ht="12.75" customHeight="1" x14ac:dyDescent="0.2">
      <c r="A149" s="194"/>
      <c r="B149" s="194"/>
      <c r="C149" s="195"/>
      <c r="D149" s="196"/>
      <c r="E149" s="194"/>
      <c r="F149" s="194"/>
      <c r="G149" s="195"/>
      <c r="H149" s="196"/>
      <c r="I149" s="103">
        <v>1706.6669999999999</v>
      </c>
      <c r="J149" s="103"/>
      <c r="K149" s="195"/>
      <c r="L149" s="196"/>
      <c r="M149" s="194"/>
      <c r="N149" s="194"/>
      <c r="O149" s="195"/>
      <c r="P149" s="196"/>
      <c r="Q149" s="194"/>
      <c r="R149" s="194"/>
      <c r="S149" s="195"/>
      <c r="T149" s="196"/>
      <c r="U149" s="194"/>
      <c r="V149" s="194"/>
      <c r="W149" s="194"/>
      <c r="X149" s="194"/>
      <c r="Y149" s="195"/>
      <c r="Z149" s="196"/>
      <c r="AA149" s="194"/>
      <c r="AB149" s="194"/>
      <c r="AC149" s="195"/>
      <c r="AD149" s="196"/>
      <c r="AE149" s="194"/>
      <c r="AF149" s="194"/>
      <c r="AG149" s="195"/>
      <c r="AH149" s="196"/>
      <c r="AI149" s="194"/>
      <c r="AJ149" s="194"/>
      <c r="AK149" s="195"/>
      <c r="AL149" s="196"/>
      <c r="AM149" s="194"/>
      <c r="AN149" s="194"/>
      <c r="AO149" s="195"/>
      <c r="AP149" s="196"/>
      <c r="AQ149" s="194"/>
      <c r="AR149" s="194"/>
      <c r="AS149" s="194"/>
    </row>
    <row r="150" spans="1:45" ht="12.75" customHeight="1" x14ac:dyDescent="0.2">
      <c r="A150" s="194"/>
      <c r="B150" s="194"/>
      <c r="C150" s="195"/>
      <c r="D150" s="196"/>
      <c r="E150" s="194"/>
      <c r="F150" s="194"/>
      <c r="G150" s="195"/>
      <c r="H150" s="196"/>
      <c r="I150" s="103"/>
      <c r="J150" s="103"/>
      <c r="K150" s="195"/>
      <c r="L150" s="196"/>
      <c r="M150" s="194"/>
      <c r="N150" s="194"/>
      <c r="O150" s="195"/>
      <c r="P150" s="196"/>
      <c r="Q150" s="194"/>
      <c r="R150" s="194"/>
      <c r="S150" s="195"/>
      <c r="T150" s="196"/>
      <c r="U150" s="194"/>
      <c r="V150" s="194"/>
      <c r="W150" s="194"/>
      <c r="X150" s="194"/>
      <c r="Y150" s="195"/>
      <c r="Z150" s="196"/>
      <c r="AA150" s="194"/>
      <c r="AB150" s="194"/>
      <c r="AC150" s="195"/>
      <c r="AD150" s="196"/>
      <c r="AE150" s="194"/>
      <c r="AF150" s="194"/>
      <c r="AG150" s="195"/>
      <c r="AH150" s="196"/>
      <c r="AI150" s="194"/>
      <c r="AJ150" s="194"/>
      <c r="AK150" s="195"/>
      <c r="AL150" s="196"/>
      <c r="AM150" s="194"/>
      <c r="AN150" s="194"/>
      <c r="AO150" s="195"/>
      <c r="AP150" s="196"/>
      <c r="AQ150" s="194"/>
      <c r="AR150" s="194"/>
      <c r="AS150" s="194"/>
    </row>
    <row r="151" spans="1:45" ht="12.75" customHeight="1" x14ac:dyDescent="0.2">
      <c r="A151" s="194"/>
      <c r="B151" s="194"/>
      <c r="C151" s="195"/>
      <c r="D151" s="196"/>
      <c r="E151" s="194"/>
      <c r="F151" s="194"/>
      <c r="G151" s="195"/>
      <c r="H151" s="196"/>
      <c r="I151" s="103"/>
      <c r="J151" s="103"/>
      <c r="K151" s="195"/>
      <c r="L151" s="196"/>
      <c r="M151" s="194"/>
      <c r="N151" s="194"/>
      <c r="O151" s="195"/>
      <c r="P151" s="196"/>
      <c r="Q151" s="194"/>
      <c r="R151" s="194"/>
      <c r="S151" s="195"/>
      <c r="T151" s="196"/>
      <c r="U151" s="194"/>
      <c r="V151" s="194"/>
      <c r="W151" s="194"/>
      <c r="X151" s="194"/>
      <c r="Y151" s="195"/>
      <c r="Z151" s="196"/>
      <c r="AA151" s="194"/>
      <c r="AB151" s="194"/>
      <c r="AC151" s="195"/>
      <c r="AD151" s="196"/>
      <c r="AE151" s="194"/>
      <c r="AF151" s="194"/>
      <c r="AG151" s="195"/>
      <c r="AH151" s="196"/>
      <c r="AI151" s="194"/>
      <c r="AJ151" s="194"/>
      <c r="AK151" s="195"/>
      <c r="AL151" s="196"/>
      <c r="AM151" s="194"/>
      <c r="AN151" s="194"/>
      <c r="AO151" s="195"/>
      <c r="AP151" s="196"/>
      <c r="AQ151" s="194"/>
      <c r="AR151" s="194"/>
      <c r="AS151" s="194"/>
    </row>
    <row r="152" spans="1:45" ht="12.75" customHeight="1" x14ac:dyDescent="0.2">
      <c r="I152" s="103"/>
      <c r="J152" s="103"/>
    </row>
    <row r="153" spans="1:45" ht="12.75" customHeight="1" x14ac:dyDescent="0.2">
      <c r="I153" s="103"/>
      <c r="J153" s="103"/>
    </row>
    <row r="154" spans="1:45" ht="12.75" customHeight="1" x14ac:dyDescent="0.2">
      <c r="I154" s="103"/>
      <c r="J154" s="103"/>
    </row>
    <row r="155" spans="1:45" ht="12.75" customHeight="1" x14ac:dyDescent="0.2">
      <c r="I155" s="103"/>
      <c r="J155" s="103"/>
    </row>
    <row r="156" spans="1:45" ht="12.75" customHeight="1" x14ac:dyDescent="0.2">
      <c r="I156" s="103"/>
      <c r="J156" s="103"/>
    </row>
    <row r="157" spans="1:45" ht="12.75" customHeight="1" x14ac:dyDescent="0.2">
      <c r="I157" s="103"/>
      <c r="J157" s="103"/>
    </row>
    <row r="158" spans="1:45" ht="12.75" customHeight="1" x14ac:dyDescent="0.2">
      <c r="I158" s="103"/>
      <c r="J158" s="103"/>
    </row>
  </sheetData>
  <pageMargins left="0.75" right="0.75" top="1" bottom="1" header="0.5" footer="0.5"/>
  <pageSetup paperSize="9" orientation="portrait" r:id="rId1"/>
  <headerFooter alignWithMargins="0">
    <oddFooter>&amp;LData preparation NBFI Financial DATA.xls&amp;R&amp;"Arial,Bold" 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150"/>
  <sheetViews>
    <sheetView zoomScale="75" workbookViewId="0">
      <pane ySplit="3" topLeftCell="A13" activePane="bottomLeft" state="frozen"/>
      <selection activeCell="V39" sqref="V39"/>
      <selection pane="bottomLeft" activeCell="D48" sqref="D48"/>
    </sheetView>
  </sheetViews>
  <sheetFormatPr defaultRowHeight="12.75" x14ac:dyDescent="0.2"/>
  <cols>
    <col min="1" max="1" width="15.7109375" style="2" customWidth="1"/>
    <col min="2" max="6" width="26.85546875" style="211" customWidth="1"/>
    <col min="7" max="16384" width="9.140625" style="2"/>
  </cols>
  <sheetData>
    <row r="1" spans="1:13" ht="15.75" x14ac:dyDescent="0.25">
      <c r="A1" s="1" t="s">
        <v>465</v>
      </c>
      <c r="E1" s="3" t="s">
        <v>79</v>
      </c>
      <c r="M1" s="3" t="s">
        <v>1</v>
      </c>
    </row>
    <row r="2" spans="1:13" x14ac:dyDescent="0.2">
      <c r="A2" s="4" t="s">
        <v>466</v>
      </c>
      <c r="B2" s="211">
        <f>COUNTA(B4:B48)</f>
        <v>24</v>
      </c>
      <c r="C2" s="211">
        <f>COUNTA(C4:C48)</f>
        <v>21</v>
      </c>
      <c r="D2" s="211">
        <f>COUNTA(D4:D48)</f>
        <v>8</v>
      </c>
      <c r="E2" s="211">
        <f>COUNTA(E4:E48)</f>
        <v>40</v>
      </c>
      <c r="F2" s="211">
        <f>COUNTA(F4:F48)</f>
        <v>8</v>
      </c>
    </row>
    <row r="3" spans="1:13" s="4" customFormat="1" x14ac:dyDescent="0.2">
      <c r="A3" s="212">
        <f>COUNTA(B4:F69)</f>
        <v>121</v>
      </c>
      <c r="B3" s="140" t="s">
        <v>467</v>
      </c>
      <c r="C3" s="140" t="s">
        <v>468</v>
      </c>
      <c r="D3" s="140" t="s">
        <v>469</v>
      </c>
      <c r="E3" s="140" t="s">
        <v>470</v>
      </c>
      <c r="F3" s="140" t="s">
        <v>471</v>
      </c>
    </row>
    <row r="4" spans="1:13" x14ac:dyDescent="0.2">
      <c r="A4" s="2">
        <f>SUM(B2:F2)</f>
        <v>101</v>
      </c>
      <c r="B4" s="211" t="s">
        <v>22</v>
      </c>
      <c r="C4" s="211" t="s">
        <v>14</v>
      </c>
      <c r="D4" s="211" t="s">
        <v>17</v>
      </c>
      <c r="E4" s="211" t="s">
        <v>28</v>
      </c>
      <c r="F4" s="211" t="s">
        <v>472</v>
      </c>
    </row>
    <row r="5" spans="1:13" x14ac:dyDescent="0.2">
      <c r="B5" s="211" t="s">
        <v>89</v>
      </c>
      <c r="C5" s="211" t="s">
        <v>26</v>
      </c>
      <c r="D5" s="211" t="s">
        <v>31</v>
      </c>
      <c r="E5" s="211" t="s">
        <v>18</v>
      </c>
      <c r="F5" s="211" t="s">
        <v>473</v>
      </c>
    </row>
    <row r="6" spans="1:13" x14ac:dyDescent="0.2">
      <c r="B6" s="211" t="s">
        <v>29</v>
      </c>
      <c r="C6" s="211" t="s">
        <v>42</v>
      </c>
      <c r="D6" s="211" t="s">
        <v>37</v>
      </c>
      <c r="E6" s="211" t="s">
        <v>32</v>
      </c>
      <c r="F6" s="211" t="s">
        <v>474</v>
      </c>
    </row>
    <row r="7" spans="1:13" x14ac:dyDescent="0.2">
      <c r="B7" s="211" t="s">
        <v>19</v>
      </c>
      <c r="C7" s="211" t="s">
        <v>391</v>
      </c>
      <c r="D7" s="211" t="s">
        <v>56</v>
      </c>
      <c r="E7" s="211" t="s">
        <v>34</v>
      </c>
      <c r="F7" s="211" t="s">
        <v>475</v>
      </c>
    </row>
    <row r="8" spans="1:13" x14ac:dyDescent="0.2">
      <c r="B8" s="211" t="s">
        <v>81</v>
      </c>
      <c r="C8" s="211" t="s">
        <v>93</v>
      </c>
      <c r="D8" s="211" t="s">
        <v>388</v>
      </c>
      <c r="E8" s="211" t="s">
        <v>35</v>
      </c>
      <c r="F8" s="211" t="s">
        <v>476</v>
      </c>
    </row>
    <row r="9" spans="1:13" x14ac:dyDescent="0.2">
      <c r="B9" s="211" t="s">
        <v>87</v>
      </c>
      <c r="C9" s="211" t="s">
        <v>72</v>
      </c>
      <c r="D9" s="211" t="s">
        <v>63</v>
      </c>
      <c r="E9" s="211" t="s">
        <v>36</v>
      </c>
      <c r="F9" s="211" t="s">
        <v>100</v>
      </c>
    </row>
    <row r="10" spans="1:13" x14ac:dyDescent="0.2">
      <c r="B10" s="211" t="s">
        <v>30</v>
      </c>
      <c r="C10" s="211" t="s">
        <v>477</v>
      </c>
      <c r="D10" s="211" t="s">
        <v>71</v>
      </c>
      <c r="E10" s="211" t="s">
        <v>40</v>
      </c>
      <c r="F10" s="211" t="s">
        <v>478</v>
      </c>
    </row>
    <row r="11" spans="1:13" x14ac:dyDescent="0.2">
      <c r="B11" s="211" t="s">
        <v>39</v>
      </c>
      <c r="C11" s="211" t="s">
        <v>479</v>
      </c>
      <c r="D11" s="211" t="s">
        <v>70</v>
      </c>
      <c r="E11" s="211" t="s">
        <v>41</v>
      </c>
      <c r="F11" s="211" t="s">
        <v>480</v>
      </c>
    </row>
    <row r="12" spans="1:13" x14ac:dyDescent="0.2">
      <c r="B12" s="211" t="s">
        <v>43</v>
      </c>
      <c r="C12" s="211" t="s">
        <v>481</v>
      </c>
      <c r="E12" s="211" t="s">
        <v>45</v>
      </c>
    </row>
    <row r="13" spans="1:13" x14ac:dyDescent="0.2">
      <c r="B13" s="211" t="s">
        <v>44</v>
      </c>
      <c r="C13" s="211" t="s">
        <v>94</v>
      </c>
      <c r="E13" s="211" t="s">
        <v>339</v>
      </c>
    </row>
    <row r="14" spans="1:13" x14ac:dyDescent="0.2">
      <c r="B14" s="211" t="s">
        <v>47</v>
      </c>
      <c r="C14" s="211" t="s">
        <v>66</v>
      </c>
      <c r="E14" s="211" t="s">
        <v>48</v>
      </c>
    </row>
    <row r="15" spans="1:13" x14ac:dyDescent="0.2">
      <c r="B15" s="211" t="s">
        <v>341</v>
      </c>
      <c r="C15" s="211" t="s">
        <v>97</v>
      </c>
      <c r="E15" s="211" t="s">
        <v>50</v>
      </c>
    </row>
    <row r="16" spans="1:13" x14ac:dyDescent="0.2">
      <c r="B16" s="211" t="s">
        <v>53</v>
      </c>
      <c r="C16" s="211" t="s">
        <v>46</v>
      </c>
      <c r="E16" s="211" t="s">
        <v>54</v>
      </c>
    </row>
    <row r="17" spans="2:5" x14ac:dyDescent="0.2">
      <c r="B17" s="211" t="s">
        <v>340</v>
      </c>
      <c r="C17" s="211" t="s">
        <v>51</v>
      </c>
      <c r="E17" s="211" t="s">
        <v>55</v>
      </c>
    </row>
    <row r="18" spans="2:5" x14ac:dyDescent="0.2">
      <c r="B18" s="211" t="s">
        <v>386</v>
      </c>
      <c r="C18" s="211" t="s">
        <v>52</v>
      </c>
      <c r="E18" s="211" t="s">
        <v>57</v>
      </c>
    </row>
    <row r="19" spans="2:5" x14ac:dyDescent="0.2">
      <c r="B19" s="211" t="s">
        <v>91</v>
      </c>
      <c r="C19" s="211" t="s">
        <v>23</v>
      </c>
      <c r="E19" s="211" t="s">
        <v>59</v>
      </c>
    </row>
    <row r="20" spans="2:5" x14ac:dyDescent="0.2">
      <c r="B20" s="211" t="s">
        <v>85</v>
      </c>
      <c r="C20" s="211" t="s">
        <v>33</v>
      </c>
      <c r="E20" s="211" t="s">
        <v>61</v>
      </c>
    </row>
    <row r="21" spans="2:5" x14ac:dyDescent="0.2">
      <c r="B21" s="211" t="s">
        <v>75</v>
      </c>
      <c r="C21" s="211" t="s">
        <v>49</v>
      </c>
      <c r="E21" s="211" t="s">
        <v>62</v>
      </c>
    </row>
    <row r="22" spans="2:5" x14ac:dyDescent="0.2">
      <c r="B22" s="211" t="s">
        <v>394</v>
      </c>
      <c r="C22" s="211" t="s">
        <v>482</v>
      </c>
      <c r="E22" s="211" t="s">
        <v>64</v>
      </c>
    </row>
    <row r="23" spans="2:5" x14ac:dyDescent="0.2">
      <c r="B23" s="211" t="s">
        <v>448</v>
      </c>
      <c r="C23" s="211" t="s">
        <v>483</v>
      </c>
      <c r="E23" s="211" t="s">
        <v>68</v>
      </c>
    </row>
    <row r="24" spans="2:5" x14ac:dyDescent="0.2">
      <c r="B24" s="211" t="s">
        <v>449</v>
      </c>
      <c r="C24" s="2" t="s">
        <v>67</v>
      </c>
      <c r="E24" s="211" t="s">
        <v>69</v>
      </c>
    </row>
    <row r="25" spans="2:5" x14ac:dyDescent="0.2">
      <c r="B25" s="211" t="s">
        <v>21</v>
      </c>
      <c r="E25" s="211" t="s">
        <v>484</v>
      </c>
    </row>
    <row r="26" spans="2:5" x14ac:dyDescent="0.2">
      <c r="B26" s="211" t="s">
        <v>60</v>
      </c>
      <c r="E26" s="211" t="s">
        <v>336</v>
      </c>
    </row>
    <row r="27" spans="2:5" x14ac:dyDescent="0.2">
      <c r="B27" s="211" t="s">
        <v>65</v>
      </c>
      <c r="E27" s="211" t="s">
        <v>88</v>
      </c>
    </row>
    <row r="28" spans="2:5" x14ac:dyDescent="0.2">
      <c r="E28" s="211" t="s">
        <v>387</v>
      </c>
    </row>
    <row r="29" spans="2:5" x14ac:dyDescent="0.2">
      <c r="E29" s="211" t="s">
        <v>77</v>
      </c>
    </row>
    <row r="30" spans="2:5" x14ac:dyDescent="0.2">
      <c r="E30" s="211" t="s">
        <v>337</v>
      </c>
    </row>
    <row r="31" spans="2:5" x14ac:dyDescent="0.2">
      <c r="E31" s="211" t="s">
        <v>74</v>
      </c>
    </row>
    <row r="32" spans="2:5" x14ac:dyDescent="0.2">
      <c r="E32" s="211" t="s">
        <v>485</v>
      </c>
    </row>
    <row r="33" spans="5:5" x14ac:dyDescent="0.2">
      <c r="E33" s="211" t="s">
        <v>38</v>
      </c>
    </row>
    <row r="34" spans="5:5" x14ac:dyDescent="0.2">
      <c r="E34" s="211" t="s">
        <v>16</v>
      </c>
    </row>
    <row r="35" spans="5:5" x14ac:dyDescent="0.2">
      <c r="E35" s="211" t="s">
        <v>20</v>
      </c>
    </row>
    <row r="36" spans="5:5" x14ac:dyDescent="0.2">
      <c r="E36" s="211" t="s">
        <v>25</v>
      </c>
    </row>
    <row r="37" spans="5:5" x14ac:dyDescent="0.2">
      <c r="E37" s="211" t="s">
        <v>486</v>
      </c>
    </row>
    <row r="38" spans="5:5" x14ac:dyDescent="0.2">
      <c r="E38" s="211" t="s">
        <v>487</v>
      </c>
    </row>
    <row r="39" spans="5:5" x14ac:dyDescent="0.2">
      <c r="E39" s="211" t="s">
        <v>76</v>
      </c>
    </row>
    <row r="40" spans="5:5" x14ac:dyDescent="0.2">
      <c r="E40" s="211" t="s">
        <v>488</v>
      </c>
    </row>
    <row r="41" spans="5:5" x14ac:dyDescent="0.2">
      <c r="E41" s="211" t="s">
        <v>489</v>
      </c>
    </row>
    <row r="42" spans="5:5" x14ac:dyDescent="0.2">
      <c r="E42" s="211" t="s">
        <v>74</v>
      </c>
    </row>
    <row r="43" spans="5:5" x14ac:dyDescent="0.2">
      <c r="E43" s="211" t="s">
        <v>86</v>
      </c>
    </row>
    <row r="50" spans="1:2" x14ac:dyDescent="0.2">
      <c r="A50" s="211" t="s">
        <v>72</v>
      </c>
      <c r="B50" s="140" t="s">
        <v>468</v>
      </c>
    </row>
    <row r="51" spans="1:2" x14ac:dyDescent="0.2">
      <c r="A51" s="211" t="s">
        <v>16</v>
      </c>
      <c r="B51" s="140" t="s">
        <v>470</v>
      </c>
    </row>
    <row r="52" spans="1:2" x14ac:dyDescent="0.2">
      <c r="A52" s="211" t="s">
        <v>14</v>
      </c>
      <c r="B52" s="140" t="s">
        <v>468</v>
      </c>
    </row>
    <row r="53" spans="1:2" x14ac:dyDescent="0.2">
      <c r="A53" s="211" t="s">
        <v>17</v>
      </c>
      <c r="B53" s="140" t="s">
        <v>469</v>
      </c>
    </row>
    <row r="54" spans="1:2" x14ac:dyDescent="0.2">
      <c r="A54" s="211" t="s">
        <v>18</v>
      </c>
      <c r="B54" s="140" t="s">
        <v>470</v>
      </c>
    </row>
    <row r="55" spans="1:2" x14ac:dyDescent="0.2">
      <c r="A55" s="211" t="s">
        <v>81</v>
      </c>
      <c r="B55" s="140" t="s">
        <v>467</v>
      </c>
    </row>
    <row r="56" spans="1:2" x14ac:dyDescent="0.2">
      <c r="A56" s="211" t="s">
        <v>19</v>
      </c>
      <c r="B56" s="140" t="s">
        <v>467</v>
      </c>
    </row>
    <row r="57" spans="1:2" x14ac:dyDescent="0.2">
      <c r="A57" s="211" t="s">
        <v>20</v>
      </c>
      <c r="B57" s="140" t="s">
        <v>470</v>
      </c>
    </row>
    <row r="58" spans="1:2" x14ac:dyDescent="0.2">
      <c r="A58" s="211" t="s">
        <v>490</v>
      </c>
      <c r="B58" s="140" t="s">
        <v>471</v>
      </c>
    </row>
    <row r="59" spans="1:2" x14ac:dyDescent="0.2">
      <c r="A59" s="211" t="s">
        <v>485</v>
      </c>
      <c r="B59" s="140" t="s">
        <v>470</v>
      </c>
    </row>
    <row r="60" spans="1:2" x14ac:dyDescent="0.2">
      <c r="A60" s="211" t="s">
        <v>21</v>
      </c>
      <c r="B60" s="140" t="s">
        <v>467</v>
      </c>
    </row>
    <row r="61" spans="1:2" x14ac:dyDescent="0.2">
      <c r="A61" s="211" t="s">
        <v>22</v>
      </c>
      <c r="B61" s="140" t="s">
        <v>467</v>
      </c>
    </row>
    <row r="62" spans="1:2" x14ac:dyDescent="0.2">
      <c r="A62" s="211" t="s">
        <v>23</v>
      </c>
      <c r="B62" s="140" t="s">
        <v>468</v>
      </c>
    </row>
    <row r="63" spans="1:2" x14ac:dyDescent="0.2">
      <c r="A63" s="211" t="s">
        <v>479</v>
      </c>
      <c r="B63" s="140" t="s">
        <v>468</v>
      </c>
    </row>
    <row r="64" spans="1:2" x14ac:dyDescent="0.2">
      <c r="A64" s="211" t="s">
        <v>85</v>
      </c>
      <c r="B64" s="140" t="s">
        <v>467</v>
      </c>
    </row>
    <row r="65" spans="1:2" x14ac:dyDescent="0.2">
      <c r="A65" s="211" t="s">
        <v>86</v>
      </c>
      <c r="B65" s="140" t="s">
        <v>470</v>
      </c>
    </row>
    <row r="66" spans="1:2" x14ac:dyDescent="0.2">
      <c r="A66" s="211" t="s">
        <v>25</v>
      </c>
      <c r="B66" s="140" t="s">
        <v>470</v>
      </c>
    </row>
    <row r="67" spans="1:2" x14ac:dyDescent="0.2">
      <c r="A67" s="211" t="s">
        <v>87</v>
      </c>
      <c r="B67" s="140" t="s">
        <v>467</v>
      </c>
    </row>
    <row r="68" spans="1:2" x14ac:dyDescent="0.2">
      <c r="A68" s="211" t="s">
        <v>26</v>
      </c>
      <c r="B68" s="140" t="s">
        <v>468</v>
      </c>
    </row>
    <row r="69" spans="1:2" x14ac:dyDescent="0.2">
      <c r="A69" s="211" t="s">
        <v>88</v>
      </c>
      <c r="B69" s="140" t="s">
        <v>470</v>
      </c>
    </row>
    <row r="70" spans="1:2" x14ac:dyDescent="0.2">
      <c r="A70" s="211" t="s">
        <v>89</v>
      </c>
      <c r="B70" s="140" t="s">
        <v>467</v>
      </c>
    </row>
    <row r="71" spans="1:2" x14ac:dyDescent="0.2">
      <c r="A71" s="211" t="s">
        <v>28</v>
      </c>
      <c r="B71" s="140" t="s">
        <v>470</v>
      </c>
    </row>
    <row r="72" spans="1:2" x14ac:dyDescent="0.2">
      <c r="A72" s="211" t="s">
        <v>489</v>
      </c>
      <c r="B72" s="140" t="s">
        <v>470</v>
      </c>
    </row>
    <row r="73" spans="1:2" x14ac:dyDescent="0.2">
      <c r="A73" s="211" t="s">
        <v>29</v>
      </c>
      <c r="B73" s="140" t="s">
        <v>467</v>
      </c>
    </row>
    <row r="74" spans="1:2" x14ac:dyDescent="0.2">
      <c r="A74" s="211" t="s">
        <v>30</v>
      </c>
      <c r="B74" s="140" t="s">
        <v>467</v>
      </c>
    </row>
    <row r="75" spans="1:2" x14ac:dyDescent="0.2">
      <c r="A75" s="211" t="s">
        <v>31</v>
      </c>
      <c r="B75" s="140" t="s">
        <v>469</v>
      </c>
    </row>
    <row r="76" spans="1:2" x14ac:dyDescent="0.2">
      <c r="A76" s="211" t="s">
        <v>32</v>
      </c>
      <c r="B76" s="140" t="s">
        <v>470</v>
      </c>
    </row>
    <row r="77" spans="1:2" x14ac:dyDescent="0.2">
      <c r="A77" s="211" t="s">
        <v>33</v>
      </c>
      <c r="B77" s="140" t="s">
        <v>468</v>
      </c>
    </row>
    <row r="78" spans="1:2" x14ac:dyDescent="0.2">
      <c r="A78" s="211" t="s">
        <v>37</v>
      </c>
      <c r="B78" s="140" t="s">
        <v>469</v>
      </c>
    </row>
    <row r="79" spans="1:2" x14ac:dyDescent="0.2">
      <c r="A79" s="211" t="s">
        <v>34</v>
      </c>
      <c r="B79" s="140" t="s">
        <v>470</v>
      </c>
    </row>
    <row r="80" spans="1:2" x14ac:dyDescent="0.2">
      <c r="A80" s="211" t="s">
        <v>91</v>
      </c>
      <c r="B80" s="140" t="s">
        <v>467</v>
      </c>
    </row>
    <row r="81" spans="1:2" x14ac:dyDescent="0.2">
      <c r="A81" s="211" t="s">
        <v>35</v>
      </c>
      <c r="B81" s="140" t="s">
        <v>470</v>
      </c>
    </row>
    <row r="82" spans="1:2" x14ac:dyDescent="0.2">
      <c r="A82" s="211" t="s">
        <v>36</v>
      </c>
      <c r="B82" s="140" t="s">
        <v>470</v>
      </c>
    </row>
    <row r="83" spans="1:2" x14ac:dyDescent="0.2">
      <c r="A83" s="211" t="s">
        <v>475</v>
      </c>
      <c r="B83" s="140" t="s">
        <v>471</v>
      </c>
    </row>
    <row r="84" spans="1:2" x14ac:dyDescent="0.2">
      <c r="A84" s="211" t="s">
        <v>93</v>
      </c>
      <c r="B84" s="140" t="s">
        <v>468</v>
      </c>
    </row>
    <row r="85" spans="1:2" x14ac:dyDescent="0.2">
      <c r="A85" s="211" t="s">
        <v>94</v>
      </c>
      <c r="B85" s="140" t="s">
        <v>468</v>
      </c>
    </row>
    <row r="86" spans="1:2" x14ac:dyDescent="0.2">
      <c r="A86" s="211" t="s">
        <v>477</v>
      </c>
      <c r="B86" s="140" t="s">
        <v>468</v>
      </c>
    </row>
    <row r="87" spans="1:2" x14ac:dyDescent="0.2">
      <c r="A87" s="211" t="s">
        <v>97</v>
      </c>
      <c r="B87" s="140" t="s">
        <v>468</v>
      </c>
    </row>
    <row r="88" spans="1:2" x14ac:dyDescent="0.2">
      <c r="A88" s="211" t="s">
        <v>38</v>
      </c>
      <c r="B88" s="140" t="s">
        <v>470</v>
      </c>
    </row>
    <row r="89" spans="1:2" x14ac:dyDescent="0.2">
      <c r="A89" s="211" t="s">
        <v>39</v>
      </c>
      <c r="B89" s="140" t="s">
        <v>467</v>
      </c>
    </row>
    <row r="90" spans="1:2" x14ac:dyDescent="0.2">
      <c r="A90" s="211" t="s">
        <v>472</v>
      </c>
      <c r="B90" s="140" t="s">
        <v>471</v>
      </c>
    </row>
    <row r="91" spans="1:2" x14ac:dyDescent="0.2">
      <c r="A91" s="211" t="s">
        <v>40</v>
      </c>
      <c r="B91" s="140" t="s">
        <v>470</v>
      </c>
    </row>
    <row r="92" spans="1:2" x14ac:dyDescent="0.2">
      <c r="A92" s="211" t="s">
        <v>474</v>
      </c>
      <c r="B92" s="140" t="s">
        <v>471</v>
      </c>
    </row>
    <row r="93" spans="1:2" x14ac:dyDescent="0.2">
      <c r="A93" s="211" t="s">
        <v>100</v>
      </c>
      <c r="B93" s="140" t="s">
        <v>471</v>
      </c>
    </row>
    <row r="94" spans="1:2" x14ac:dyDescent="0.2">
      <c r="A94" s="211" t="s">
        <v>41</v>
      </c>
      <c r="B94" s="140" t="s">
        <v>470</v>
      </c>
    </row>
    <row r="95" spans="1:2" x14ac:dyDescent="0.2">
      <c r="A95" s="211" t="s">
        <v>42</v>
      </c>
      <c r="B95" s="140" t="s">
        <v>468</v>
      </c>
    </row>
    <row r="96" spans="1:2" x14ac:dyDescent="0.2">
      <c r="A96" s="211" t="s">
        <v>336</v>
      </c>
      <c r="B96" s="140" t="s">
        <v>470</v>
      </c>
    </row>
    <row r="97" spans="1:2" x14ac:dyDescent="0.2">
      <c r="A97" s="211" t="s">
        <v>337</v>
      </c>
      <c r="B97" s="140" t="s">
        <v>470</v>
      </c>
    </row>
    <row r="98" spans="1:2" x14ac:dyDescent="0.2">
      <c r="A98" s="211" t="s">
        <v>43</v>
      </c>
      <c r="B98" s="140" t="s">
        <v>467</v>
      </c>
    </row>
    <row r="99" spans="1:2" x14ac:dyDescent="0.2">
      <c r="A99" s="211" t="s">
        <v>45</v>
      </c>
      <c r="B99" s="140" t="s">
        <v>470</v>
      </c>
    </row>
    <row r="100" spans="1:2" x14ac:dyDescent="0.2">
      <c r="A100" s="211" t="s">
        <v>44</v>
      </c>
      <c r="B100" s="140" t="s">
        <v>467</v>
      </c>
    </row>
    <row r="101" spans="1:2" x14ac:dyDescent="0.2">
      <c r="A101" s="211" t="s">
        <v>46</v>
      </c>
      <c r="B101" s="140" t="s">
        <v>468</v>
      </c>
    </row>
    <row r="102" spans="1:2" x14ac:dyDescent="0.2">
      <c r="A102" s="211" t="s">
        <v>47</v>
      </c>
      <c r="B102" s="140" t="s">
        <v>467</v>
      </c>
    </row>
    <row r="103" spans="1:2" x14ac:dyDescent="0.2">
      <c r="A103" s="211" t="s">
        <v>339</v>
      </c>
      <c r="B103" s="140" t="s">
        <v>470</v>
      </c>
    </row>
    <row r="104" spans="1:2" x14ac:dyDescent="0.2">
      <c r="A104" s="211" t="s">
        <v>48</v>
      </c>
      <c r="B104" s="140" t="s">
        <v>470</v>
      </c>
    </row>
    <row r="105" spans="1:2" x14ac:dyDescent="0.2">
      <c r="A105" s="211" t="s">
        <v>49</v>
      </c>
      <c r="B105" s="140" t="s">
        <v>468</v>
      </c>
    </row>
    <row r="106" spans="1:2" x14ac:dyDescent="0.2">
      <c r="A106" s="211" t="s">
        <v>50</v>
      </c>
      <c r="B106" s="140" t="s">
        <v>470</v>
      </c>
    </row>
    <row r="107" spans="1:2" x14ac:dyDescent="0.2">
      <c r="A107" s="211" t="s">
        <v>51</v>
      </c>
      <c r="B107" s="140" t="s">
        <v>468</v>
      </c>
    </row>
    <row r="108" spans="1:2" x14ac:dyDescent="0.2">
      <c r="A108" s="211" t="s">
        <v>74</v>
      </c>
      <c r="B108" s="140" t="s">
        <v>470</v>
      </c>
    </row>
    <row r="109" spans="1:2" x14ac:dyDescent="0.2">
      <c r="A109" s="211" t="s">
        <v>74</v>
      </c>
      <c r="B109" s="140" t="s">
        <v>470</v>
      </c>
    </row>
    <row r="110" spans="1:2" x14ac:dyDescent="0.2">
      <c r="A110" s="211" t="s">
        <v>340</v>
      </c>
      <c r="B110" s="140" t="s">
        <v>467</v>
      </c>
    </row>
    <row r="111" spans="1:2" x14ac:dyDescent="0.2">
      <c r="A111" s="211" t="s">
        <v>341</v>
      </c>
      <c r="B111" s="140" t="s">
        <v>467</v>
      </c>
    </row>
    <row r="112" spans="1:2" x14ac:dyDescent="0.2">
      <c r="A112" s="211" t="s">
        <v>52</v>
      </c>
      <c r="B112" s="140" t="s">
        <v>468</v>
      </c>
    </row>
    <row r="113" spans="1:2" x14ac:dyDescent="0.2">
      <c r="A113" s="211" t="s">
        <v>53</v>
      </c>
      <c r="B113" s="140" t="s">
        <v>467</v>
      </c>
    </row>
    <row r="114" spans="1:2" x14ac:dyDescent="0.2">
      <c r="A114" s="211" t="s">
        <v>476</v>
      </c>
      <c r="B114" s="140" t="s">
        <v>471</v>
      </c>
    </row>
    <row r="115" spans="1:2" x14ac:dyDescent="0.2">
      <c r="A115" s="211" t="s">
        <v>481</v>
      </c>
      <c r="B115" s="140" t="s">
        <v>468</v>
      </c>
    </row>
    <row r="116" spans="1:2" x14ac:dyDescent="0.2">
      <c r="A116" s="211" t="s">
        <v>54</v>
      </c>
      <c r="B116" s="140" t="s">
        <v>470</v>
      </c>
    </row>
    <row r="117" spans="1:2" x14ac:dyDescent="0.2">
      <c r="A117" s="211" t="s">
        <v>55</v>
      </c>
      <c r="B117" s="140" t="s">
        <v>470</v>
      </c>
    </row>
    <row r="118" spans="1:2" x14ac:dyDescent="0.2">
      <c r="A118" s="211" t="s">
        <v>56</v>
      </c>
      <c r="B118" s="140" t="s">
        <v>469</v>
      </c>
    </row>
    <row r="119" spans="1:2" x14ac:dyDescent="0.2">
      <c r="A119" s="211" t="s">
        <v>57</v>
      </c>
      <c r="B119" s="140" t="s">
        <v>470</v>
      </c>
    </row>
    <row r="120" spans="1:2" x14ac:dyDescent="0.2">
      <c r="A120" s="211" t="s">
        <v>487</v>
      </c>
      <c r="B120" s="140" t="s">
        <v>470</v>
      </c>
    </row>
    <row r="121" spans="1:2" x14ac:dyDescent="0.2">
      <c r="A121" s="211" t="s">
        <v>478</v>
      </c>
      <c r="B121" s="140" t="s">
        <v>471</v>
      </c>
    </row>
    <row r="122" spans="1:2" x14ac:dyDescent="0.2">
      <c r="A122" s="211" t="s">
        <v>386</v>
      </c>
      <c r="B122" s="140" t="s">
        <v>467</v>
      </c>
    </row>
    <row r="123" spans="1:2" x14ac:dyDescent="0.2">
      <c r="A123" s="211" t="s">
        <v>387</v>
      </c>
      <c r="B123" s="140" t="s">
        <v>470</v>
      </c>
    </row>
    <row r="124" spans="1:2" x14ac:dyDescent="0.2">
      <c r="A124" s="211" t="s">
        <v>77</v>
      </c>
      <c r="B124" s="140" t="s">
        <v>470</v>
      </c>
    </row>
    <row r="125" spans="1:2" x14ac:dyDescent="0.2">
      <c r="A125" s="211" t="s">
        <v>486</v>
      </c>
      <c r="B125" s="140" t="s">
        <v>470</v>
      </c>
    </row>
    <row r="126" spans="1:2" x14ac:dyDescent="0.2">
      <c r="A126" s="211" t="s">
        <v>59</v>
      </c>
      <c r="B126" s="140" t="s">
        <v>470</v>
      </c>
    </row>
    <row r="127" spans="1:2" x14ac:dyDescent="0.2">
      <c r="A127" s="211" t="s">
        <v>388</v>
      </c>
      <c r="B127" s="140" t="s">
        <v>469</v>
      </c>
    </row>
    <row r="128" spans="1:2" x14ac:dyDescent="0.2">
      <c r="A128" s="211" t="s">
        <v>483</v>
      </c>
      <c r="B128" s="140" t="s">
        <v>468</v>
      </c>
    </row>
    <row r="129" spans="1:2" x14ac:dyDescent="0.2">
      <c r="A129" s="211" t="s">
        <v>61</v>
      </c>
      <c r="B129" s="140" t="s">
        <v>470</v>
      </c>
    </row>
    <row r="130" spans="1:2" x14ac:dyDescent="0.2">
      <c r="A130" s="211" t="s">
        <v>391</v>
      </c>
      <c r="B130" s="140" t="s">
        <v>468</v>
      </c>
    </row>
    <row r="131" spans="1:2" x14ac:dyDescent="0.2">
      <c r="A131" s="211" t="s">
        <v>63</v>
      </c>
      <c r="B131" s="140" t="s">
        <v>469</v>
      </c>
    </row>
    <row r="132" spans="1:2" x14ac:dyDescent="0.2">
      <c r="A132" s="211" t="s">
        <v>488</v>
      </c>
      <c r="B132" s="140" t="s">
        <v>470</v>
      </c>
    </row>
    <row r="133" spans="1:2" x14ac:dyDescent="0.2">
      <c r="A133" s="211" t="s">
        <v>394</v>
      </c>
      <c r="B133" s="140" t="s">
        <v>467</v>
      </c>
    </row>
    <row r="134" spans="1:2" x14ac:dyDescent="0.2">
      <c r="A134" s="211" t="s">
        <v>75</v>
      </c>
      <c r="B134" s="140" t="s">
        <v>467</v>
      </c>
    </row>
    <row r="135" spans="1:2" x14ac:dyDescent="0.2">
      <c r="A135" s="211" t="s">
        <v>62</v>
      </c>
      <c r="B135" s="140" t="s">
        <v>470</v>
      </c>
    </row>
    <row r="136" spans="1:2" x14ac:dyDescent="0.2">
      <c r="A136" s="211" t="s">
        <v>64</v>
      </c>
      <c r="B136" s="140" t="s">
        <v>470</v>
      </c>
    </row>
    <row r="137" spans="1:2" x14ac:dyDescent="0.2">
      <c r="A137" s="211" t="s">
        <v>60</v>
      </c>
      <c r="B137" s="140" t="s">
        <v>467</v>
      </c>
    </row>
    <row r="138" spans="1:2" x14ac:dyDescent="0.2">
      <c r="A138" s="211" t="s">
        <v>65</v>
      </c>
      <c r="B138" s="140" t="s">
        <v>467</v>
      </c>
    </row>
    <row r="139" spans="1:2" x14ac:dyDescent="0.2">
      <c r="A139" s="211" t="s">
        <v>480</v>
      </c>
      <c r="B139" s="140" t="s">
        <v>471</v>
      </c>
    </row>
    <row r="140" spans="1:2" x14ac:dyDescent="0.2">
      <c r="A140" s="211" t="s">
        <v>484</v>
      </c>
      <c r="B140" s="140" t="s">
        <v>470</v>
      </c>
    </row>
    <row r="141" spans="1:2" x14ac:dyDescent="0.2">
      <c r="A141" s="211" t="s">
        <v>66</v>
      </c>
      <c r="B141" s="140" t="s">
        <v>468</v>
      </c>
    </row>
    <row r="142" spans="1:2" x14ac:dyDescent="0.2">
      <c r="A142" s="2" t="s">
        <v>67</v>
      </c>
      <c r="B142" s="140" t="s">
        <v>468</v>
      </c>
    </row>
    <row r="143" spans="1:2" x14ac:dyDescent="0.2">
      <c r="A143" s="211" t="s">
        <v>449</v>
      </c>
      <c r="B143" s="140" t="s">
        <v>467</v>
      </c>
    </row>
    <row r="144" spans="1:2" x14ac:dyDescent="0.2">
      <c r="A144" s="211" t="s">
        <v>448</v>
      </c>
      <c r="B144" s="140" t="s">
        <v>467</v>
      </c>
    </row>
    <row r="145" spans="1:2" x14ac:dyDescent="0.2">
      <c r="A145" s="211" t="s">
        <v>482</v>
      </c>
      <c r="B145" s="140" t="s">
        <v>468</v>
      </c>
    </row>
    <row r="146" spans="1:2" x14ac:dyDescent="0.2">
      <c r="A146" s="211" t="s">
        <v>76</v>
      </c>
      <c r="B146" s="140" t="s">
        <v>470</v>
      </c>
    </row>
    <row r="147" spans="1:2" x14ac:dyDescent="0.2">
      <c r="A147" s="211" t="s">
        <v>68</v>
      </c>
      <c r="B147" s="140" t="s">
        <v>470</v>
      </c>
    </row>
    <row r="148" spans="1:2" x14ac:dyDescent="0.2">
      <c r="A148" s="211" t="s">
        <v>69</v>
      </c>
      <c r="B148" s="140" t="s">
        <v>470</v>
      </c>
    </row>
    <row r="149" spans="1:2" x14ac:dyDescent="0.2">
      <c r="A149" s="211" t="s">
        <v>70</v>
      </c>
      <c r="B149" s="140" t="s">
        <v>469</v>
      </c>
    </row>
    <row r="150" spans="1:2" x14ac:dyDescent="0.2">
      <c r="A150" s="211" t="s">
        <v>71</v>
      </c>
      <c r="B150" s="140" t="s">
        <v>469</v>
      </c>
    </row>
  </sheetData>
  <hyperlinks>
    <hyperlink ref="E1" location="'Overview'!$A$1" display="'Overview'!$A$1"/>
    <hyperlink ref="M1" location="'Overview'!$A$1" display="'Overview'!$A$1"/>
  </hyperlinks>
  <pageMargins left="0.75" right="0.75" top="1" bottom="1" header="0.5" footer="0.5"/>
  <pageSetup paperSize="9" orientation="portrait" r:id="rId1"/>
  <headerFooter alignWithMargins="0">
    <oddFooter>&amp;LData preparation NBFI Financial DATA.xls&amp;R&amp;"Arial,Bold" 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AL129"/>
  <sheetViews>
    <sheetView workbookViewId="0">
      <selection activeCell="B2" sqref="B2"/>
    </sheetView>
  </sheetViews>
  <sheetFormatPr defaultRowHeight="12.75" x14ac:dyDescent="0.2"/>
  <cols>
    <col min="1" max="1" width="34.140625" style="2" bestFit="1" customWidth="1"/>
    <col min="2" max="2" width="13" style="2" customWidth="1"/>
    <col min="3" max="3" width="8.5703125" style="2" customWidth="1"/>
    <col min="4" max="4" width="13" style="2" bestFit="1" customWidth="1"/>
    <col min="5" max="5" width="8.140625" style="2" customWidth="1"/>
    <col min="6" max="6" width="13" style="2" bestFit="1" customWidth="1"/>
    <col min="7" max="7" width="10.5703125" style="2" bestFit="1" customWidth="1"/>
    <col min="8" max="8" width="10.5703125" style="2" customWidth="1"/>
    <col min="9" max="9" width="15.42578125" style="2" bestFit="1" customWidth="1"/>
    <col min="10" max="10" width="14" style="2" bestFit="1" customWidth="1"/>
    <col min="11" max="11" width="9.5703125" style="2" bestFit="1" customWidth="1"/>
    <col min="12" max="12" width="10.5703125" style="2" bestFit="1" customWidth="1"/>
    <col min="13" max="14" width="8.140625" style="2" customWidth="1"/>
    <col min="15" max="15" width="10.5703125" style="2" bestFit="1" customWidth="1"/>
    <col min="16" max="16" width="8.140625" style="2" customWidth="1"/>
    <col min="17" max="18" width="13" style="2" bestFit="1" customWidth="1"/>
    <col min="19" max="21" width="10.5703125" style="2" bestFit="1" customWidth="1"/>
    <col min="22" max="24" width="11.140625" style="2" customWidth="1"/>
    <col min="25" max="25" width="10" style="2" customWidth="1"/>
    <col min="26" max="26" width="11.140625" style="2" customWidth="1"/>
    <col min="27" max="27" width="10" style="2" customWidth="1"/>
    <col min="28" max="30" width="14" style="2" bestFit="1" customWidth="1"/>
    <col min="31" max="32" width="11.140625" style="2" customWidth="1"/>
    <col min="33" max="34" width="14" style="2" bestFit="1" customWidth="1"/>
    <col min="35" max="36" width="10" style="2" customWidth="1"/>
    <col min="37" max="38" width="10.5703125" style="2" customWidth="1"/>
    <col min="39" max="16384" width="9.140625" style="2"/>
  </cols>
  <sheetData>
    <row r="1" spans="1:38" x14ac:dyDescent="0.2">
      <c r="A1" s="213" t="s">
        <v>491</v>
      </c>
      <c r="J1" s="3"/>
      <c r="M1" s="3"/>
    </row>
    <row r="2" spans="1:38" x14ac:dyDescent="0.2">
      <c r="A2" s="214" t="s">
        <v>492</v>
      </c>
      <c r="B2" s="215">
        <v>2004</v>
      </c>
    </row>
    <row r="3" spans="1:38" s="218" customFormat="1" ht="83.25" customHeight="1" x14ac:dyDescent="0.25">
      <c r="A3" s="216" t="s">
        <v>493</v>
      </c>
      <c r="B3" s="217" t="s">
        <v>494</v>
      </c>
      <c r="C3" s="217" t="s">
        <v>495</v>
      </c>
      <c r="D3" s="217" t="s">
        <v>496</v>
      </c>
      <c r="E3" s="217" t="s">
        <v>497</v>
      </c>
      <c r="F3" s="217" t="s">
        <v>498</v>
      </c>
      <c r="G3" s="217" t="s">
        <v>499</v>
      </c>
      <c r="H3" s="217" t="s">
        <v>500</v>
      </c>
      <c r="I3" s="217" t="s">
        <v>501</v>
      </c>
      <c r="J3" s="217" t="s">
        <v>502</v>
      </c>
      <c r="K3" s="217" t="s">
        <v>503</v>
      </c>
      <c r="L3" s="217" t="s">
        <v>504</v>
      </c>
      <c r="M3" s="217" t="s">
        <v>505</v>
      </c>
      <c r="N3" s="217" t="s">
        <v>282</v>
      </c>
      <c r="O3" s="217" t="s">
        <v>283</v>
      </c>
      <c r="P3" s="217" t="s">
        <v>506</v>
      </c>
      <c r="Q3" s="217" t="s">
        <v>507</v>
      </c>
      <c r="R3" s="217" t="s">
        <v>508</v>
      </c>
      <c r="S3" s="217" t="s">
        <v>509</v>
      </c>
      <c r="T3" s="217" t="s">
        <v>510</v>
      </c>
      <c r="U3" s="217" t="s">
        <v>511</v>
      </c>
      <c r="V3" s="217" t="s">
        <v>512</v>
      </c>
      <c r="W3" s="217" t="s">
        <v>513</v>
      </c>
      <c r="X3" s="217" t="s">
        <v>514</v>
      </c>
      <c r="Y3" s="217" t="s">
        <v>515</v>
      </c>
      <c r="Z3" s="217" t="s">
        <v>516</v>
      </c>
      <c r="AA3" s="217" t="s">
        <v>517</v>
      </c>
      <c r="AB3" s="217" t="s">
        <v>518</v>
      </c>
      <c r="AC3" s="217" t="s">
        <v>519</v>
      </c>
      <c r="AD3" s="217" t="s">
        <v>520</v>
      </c>
      <c r="AE3" s="217" t="s">
        <v>521</v>
      </c>
      <c r="AF3" s="217" t="s">
        <v>522</v>
      </c>
      <c r="AG3" s="217" t="s">
        <v>523</v>
      </c>
      <c r="AH3" s="217" t="s">
        <v>524</v>
      </c>
      <c r="AI3" s="217" t="s">
        <v>525</v>
      </c>
      <c r="AJ3" s="217" t="s">
        <v>526</v>
      </c>
      <c r="AK3" s="217" t="s">
        <v>527</v>
      </c>
      <c r="AL3" s="217" t="s">
        <v>528</v>
      </c>
    </row>
    <row r="4" spans="1:38" x14ac:dyDescent="0.2">
      <c r="A4" s="219" t="s">
        <v>529</v>
      </c>
      <c r="B4" s="220"/>
      <c r="C4" s="220"/>
      <c r="D4" s="220"/>
      <c r="E4" s="220"/>
      <c r="F4" s="220"/>
      <c r="G4" s="220"/>
      <c r="H4" s="220"/>
      <c r="I4" s="220"/>
      <c r="J4" s="221"/>
      <c r="K4" s="220"/>
      <c r="L4" s="220"/>
      <c r="M4" s="220"/>
      <c r="N4" s="220"/>
      <c r="O4" s="220"/>
      <c r="P4" s="220"/>
      <c r="Q4" s="220"/>
      <c r="R4" s="220"/>
      <c r="S4" s="220"/>
      <c r="T4" s="220"/>
      <c r="U4" s="220"/>
      <c r="V4" s="221"/>
      <c r="W4" s="221"/>
      <c r="X4" s="221"/>
      <c r="Y4" s="221"/>
      <c r="Z4" s="221"/>
      <c r="AA4" s="221"/>
      <c r="AB4" s="221"/>
      <c r="AC4" s="221"/>
      <c r="AD4" s="221"/>
      <c r="AE4" s="221"/>
      <c r="AF4" s="221"/>
      <c r="AG4" s="221"/>
      <c r="AH4" s="221"/>
      <c r="AI4" s="221"/>
      <c r="AJ4" s="221"/>
      <c r="AK4" s="221"/>
      <c r="AL4" s="221"/>
    </row>
    <row r="5" spans="1:38" x14ac:dyDescent="0.2">
      <c r="A5" s="219" t="s">
        <v>16</v>
      </c>
      <c r="B5" s="220"/>
      <c r="C5" s="220"/>
      <c r="D5" s="220"/>
      <c r="E5" s="220"/>
      <c r="F5" s="220"/>
      <c r="G5" s="220"/>
      <c r="H5" s="220"/>
      <c r="I5" s="220"/>
      <c r="J5" s="221"/>
      <c r="K5" s="220"/>
      <c r="L5" s="220"/>
      <c r="M5" s="220"/>
      <c r="N5" s="220"/>
      <c r="O5" s="220"/>
      <c r="P5" s="220"/>
      <c r="Q5" s="220"/>
      <c r="R5" s="220"/>
      <c r="S5" s="220"/>
      <c r="T5" s="220"/>
      <c r="U5" s="220"/>
      <c r="V5" s="221"/>
      <c r="W5" s="221"/>
      <c r="X5" s="221"/>
      <c r="Y5" s="221"/>
      <c r="Z5" s="221"/>
      <c r="AA5" s="221"/>
      <c r="AB5" s="221"/>
      <c r="AC5" s="221"/>
      <c r="AD5" s="221"/>
      <c r="AE5" s="221"/>
      <c r="AF5" s="221"/>
      <c r="AG5" s="221"/>
      <c r="AH5" s="221"/>
      <c r="AI5" s="221"/>
      <c r="AJ5" s="221"/>
      <c r="AK5" s="221"/>
      <c r="AL5" s="221"/>
    </row>
    <row r="6" spans="1:38" x14ac:dyDescent="0.2">
      <c r="A6" s="219" t="s">
        <v>17</v>
      </c>
      <c r="B6" s="220"/>
      <c r="C6" s="220"/>
      <c r="D6" s="220"/>
      <c r="E6" s="220"/>
      <c r="F6" s="220"/>
      <c r="G6" s="220"/>
      <c r="H6" s="220"/>
      <c r="I6" s="220"/>
      <c r="J6" s="221"/>
      <c r="K6" s="220"/>
      <c r="L6" s="220"/>
      <c r="M6" s="220"/>
      <c r="N6" s="220"/>
      <c r="O6" s="220"/>
      <c r="P6" s="220"/>
      <c r="Q6" s="220"/>
      <c r="R6" s="220"/>
      <c r="S6" s="220"/>
      <c r="T6" s="220"/>
      <c r="U6" s="220"/>
      <c r="V6" s="221"/>
      <c r="W6" s="221"/>
      <c r="X6" s="221"/>
      <c r="Y6" s="221"/>
      <c r="Z6" s="221"/>
      <c r="AA6" s="221"/>
      <c r="AB6" s="221"/>
      <c r="AC6" s="221"/>
      <c r="AD6" s="221"/>
      <c r="AE6" s="221"/>
      <c r="AF6" s="221"/>
      <c r="AG6" s="221"/>
      <c r="AH6" s="221"/>
      <c r="AI6" s="221"/>
      <c r="AJ6" s="221"/>
      <c r="AK6" s="221"/>
      <c r="AL6" s="221"/>
    </row>
    <row r="7" spans="1:38" x14ac:dyDescent="0.2">
      <c r="A7" s="219" t="s">
        <v>18</v>
      </c>
      <c r="B7" s="220"/>
      <c r="C7" s="220"/>
      <c r="D7" s="220"/>
      <c r="E7" s="220"/>
      <c r="F7" s="220"/>
      <c r="G7" s="220"/>
      <c r="H7" s="220"/>
      <c r="I7" s="220"/>
      <c r="J7" s="221"/>
      <c r="K7" s="220"/>
      <c r="L7" s="220"/>
      <c r="M7" s="220"/>
      <c r="N7" s="220"/>
      <c r="O7" s="220"/>
      <c r="P7" s="220"/>
      <c r="Q7" s="220"/>
      <c r="R7" s="220"/>
      <c r="S7" s="220"/>
      <c r="T7" s="220"/>
      <c r="U7" s="220"/>
      <c r="V7" s="221"/>
      <c r="W7" s="221"/>
      <c r="X7" s="221"/>
      <c r="Y7" s="221"/>
      <c r="Z7" s="221"/>
      <c r="AA7" s="221"/>
      <c r="AB7" s="221"/>
      <c r="AC7" s="221"/>
      <c r="AD7" s="221"/>
      <c r="AE7" s="221"/>
      <c r="AF7" s="221"/>
      <c r="AG7" s="221"/>
      <c r="AH7" s="221"/>
      <c r="AI7" s="221"/>
      <c r="AJ7" s="221"/>
      <c r="AK7" s="221"/>
      <c r="AL7" s="221"/>
    </row>
    <row r="8" spans="1:38" x14ac:dyDescent="0.2">
      <c r="A8" s="219" t="s">
        <v>19</v>
      </c>
      <c r="B8" s="220"/>
      <c r="C8" s="220"/>
      <c r="D8" s="220"/>
      <c r="E8" s="220"/>
      <c r="F8" s="220"/>
      <c r="G8" s="220"/>
      <c r="H8" s="220"/>
      <c r="I8" s="220"/>
      <c r="J8" s="221"/>
      <c r="K8" s="220"/>
      <c r="L8" s="220"/>
      <c r="M8" s="220"/>
      <c r="N8" s="220"/>
      <c r="O8" s="220"/>
      <c r="P8" s="220"/>
      <c r="Q8" s="220"/>
      <c r="R8" s="220"/>
      <c r="S8" s="220"/>
      <c r="T8" s="220"/>
      <c r="U8" s="220"/>
      <c r="V8" s="221"/>
      <c r="W8" s="221"/>
      <c r="X8" s="221"/>
      <c r="Y8" s="221"/>
      <c r="Z8" s="221"/>
      <c r="AA8" s="221"/>
      <c r="AB8" s="221"/>
      <c r="AC8" s="221"/>
      <c r="AD8" s="221"/>
      <c r="AE8" s="221"/>
      <c r="AF8" s="221"/>
      <c r="AG8" s="221"/>
      <c r="AH8" s="221"/>
      <c r="AI8" s="221"/>
      <c r="AJ8" s="221"/>
      <c r="AK8" s="221"/>
      <c r="AL8" s="221"/>
    </row>
    <row r="9" spans="1:38" x14ac:dyDescent="0.2">
      <c r="A9" s="219" t="s">
        <v>20</v>
      </c>
      <c r="B9" s="220"/>
      <c r="C9" s="220"/>
      <c r="D9" s="220"/>
      <c r="E9" s="220"/>
      <c r="F9" s="220"/>
      <c r="G9" s="220"/>
      <c r="H9" s="220"/>
      <c r="I9" s="220"/>
      <c r="J9" s="221"/>
      <c r="K9" s="220"/>
      <c r="L9" s="220"/>
      <c r="M9" s="220"/>
      <c r="N9" s="220"/>
      <c r="O9" s="220"/>
      <c r="P9" s="220"/>
      <c r="Q9" s="220"/>
      <c r="R9" s="220"/>
      <c r="S9" s="220"/>
      <c r="T9" s="220"/>
      <c r="U9" s="220"/>
      <c r="V9" s="221"/>
      <c r="W9" s="221"/>
      <c r="X9" s="221"/>
      <c r="Y9" s="221"/>
      <c r="Z9" s="221"/>
      <c r="AA9" s="221"/>
      <c r="AB9" s="221"/>
      <c r="AC9" s="221"/>
      <c r="AD9" s="221"/>
      <c r="AE9" s="221"/>
      <c r="AF9" s="221"/>
      <c r="AG9" s="221"/>
      <c r="AH9" s="221"/>
      <c r="AI9" s="221"/>
      <c r="AJ9" s="221"/>
      <c r="AK9" s="221"/>
      <c r="AL9" s="221"/>
    </row>
    <row r="10" spans="1:38" x14ac:dyDescent="0.2">
      <c r="A10" s="219" t="s">
        <v>21</v>
      </c>
      <c r="B10" s="220"/>
      <c r="C10" s="220"/>
      <c r="D10" s="220"/>
      <c r="E10" s="220"/>
      <c r="F10" s="220"/>
      <c r="G10" s="220"/>
      <c r="H10" s="220"/>
      <c r="I10" s="220"/>
      <c r="J10" s="221"/>
      <c r="K10" s="220"/>
      <c r="L10" s="220"/>
      <c r="M10" s="220"/>
      <c r="N10" s="220"/>
      <c r="O10" s="220"/>
      <c r="P10" s="220"/>
      <c r="Q10" s="220"/>
      <c r="R10" s="220"/>
      <c r="S10" s="220"/>
      <c r="T10" s="220"/>
      <c r="U10" s="220"/>
      <c r="V10" s="221"/>
      <c r="W10" s="221"/>
      <c r="X10" s="221"/>
      <c r="Y10" s="221"/>
      <c r="Z10" s="221"/>
      <c r="AA10" s="221"/>
      <c r="AB10" s="221"/>
      <c r="AC10" s="221"/>
      <c r="AD10" s="221"/>
      <c r="AE10" s="221"/>
      <c r="AF10" s="221"/>
      <c r="AG10" s="221"/>
      <c r="AH10" s="221"/>
      <c r="AI10" s="221"/>
      <c r="AJ10" s="221"/>
      <c r="AK10" s="221"/>
      <c r="AL10" s="221"/>
    </row>
    <row r="11" spans="1:38" x14ac:dyDescent="0.2">
      <c r="A11" s="219" t="s">
        <v>22</v>
      </c>
      <c r="B11" s="220"/>
      <c r="C11" s="220"/>
      <c r="D11" s="220"/>
      <c r="E11" s="220"/>
      <c r="F11" s="220"/>
      <c r="G11" s="220"/>
      <c r="H11" s="220"/>
      <c r="I11" s="220"/>
      <c r="J11" s="221"/>
      <c r="K11" s="220"/>
      <c r="L11" s="220"/>
      <c r="M11" s="220"/>
      <c r="N11" s="220"/>
      <c r="O11" s="220"/>
      <c r="P11" s="220"/>
      <c r="Q11" s="220"/>
      <c r="R11" s="220"/>
      <c r="S11" s="220"/>
      <c r="T11" s="220"/>
      <c r="U11" s="220"/>
      <c r="V11" s="221"/>
      <c r="W11" s="221"/>
      <c r="X11" s="221"/>
      <c r="Y11" s="221"/>
      <c r="Z11" s="221"/>
      <c r="AA11" s="221"/>
      <c r="AB11" s="221"/>
      <c r="AC11" s="221"/>
      <c r="AD11" s="221"/>
      <c r="AE11" s="221"/>
      <c r="AF11" s="221"/>
      <c r="AG11" s="221"/>
      <c r="AH11" s="221"/>
      <c r="AI11" s="221"/>
      <c r="AJ11" s="221"/>
      <c r="AK11" s="221"/>
      <c r="AL11" s="221"/>
    </row>
    <row r="12" spans="1:38" x14ac:dyDescent="0.2">
      <c r="A12" s="219" t="s">
        <v>23</v>
      </c>
      <c r="B12" s="220"/>
      <c r="C12" s="220"/>
      <c r="D12" s="220"/>
      <c r="E12" s="220"/>
      <c r="F12" s="220"/>
      <c r="G12" s="220"/>
      <c r="H12" s="220"/>
      <c r="I12" s="220"/>
      <c r="J12" s="221"/>
      <c r="K12" s="220"/>
      <c r="L12" s="220"/>
      <c r="M12" s="220"/>
      <c r="N12" s="220"/>
      <c r="O12" s="220"/>
      <c r="P12" s="220"/>
      <c r="Q12" s="220"/>
      <c r="R12" s="220"/>
      <c r="S12" s="220"/>
      <c r="T12" s="220"/>
      <c r="U12" s="220"/>
      <c r="V12" s="221"/>
      <c r="W12" s="221"/>
      <c r="X12" s="221"/>
      <c r="Y12" s="221"/>
      <c r="Z12" s="221"/>
      <c r="AA12" s="221"/>
      <c r="AB12" s="221"/>
      <c r="AC12" s="221"/>
      <c r="AD12" s="221"/>
      <c r="AE12" s="221"/>
      <c r="AF12" s="221"/>
      <c r="AG12" s="221"/>
      <c r="AH12" s="221"/>
      <c r="AI12" s="221"/>
      <c r="AJ12" s="221"/>
      <c r="AK12" s="221"/>
      <c r="AL12" s="221"/>
    </row>
    <row r="13" spans="1:38" x14ac:dyDescent="0.2">
      <c r="A13" s="219" t="s">
        <v>24</v>
      </c>
      <c r="B13" s="220"/>
      <c r="C13" s="220"/>
      <c r="D13" s="220"/>
      <c r="E13" s="220"/>
      <c r="F13" s="220"/>
      <c r="G13" s="220"/>
      <c r="H13" s="220"/>
      <c r="I13" s="220"/>
      <c r="J13" s="221"/>
      <c r="K13" s="220"/>
      <c r="L13" s="220"/>
      <c r="M13" s="220"/>
      <c r="N13" s="220"/>
      <c r="O13" s="220"/>
      <c r="P13" s="220"/>
      <c r="Q13" s="220"/>
      <c r="R13" s="220"/>
      <c r="S13" s="220"/>
      <c r="T13" s="220"/>
      <c r="U13" s="220"/>
      <c r="V13" s="221"/>
      <c r="W13" s="221"/>
      <c r="X13" s="221"/>
      <c r="Y13" s="221"/>
      <c r="Z13" s="221"/>
      <c r="AA13" s="221"/>
      <c r="AB13" s="221"/>
      <c r="AC13" s="221"/>
      <c r="AD13" s="221"/>
      <c r="AE13" s="221"/>
      <c r="AF13" s="221"/>
      <c r="AG13" s="221"/>
      <c r="AH13" s="221"/>
      <c r="AI13" s="221"/>
      <c r="AJ13" s="221"/>
      <c r="AK13" s="221"/>
      <c r="AL13" s="221"/>
    </row>
    <row r="14" spans="1:38" x14ac:dyDescent="0.2">
      <c r="A14" s="219" t="s">
        <v>25</v>
      </c>
      <c r="B14" s="220"/>
      <c r="C14" s="220"/>
      <c r="D14" s="220"/>
      <c r="E14" s="220"/>
      <c r="F14" s="220"/>
      <c r="G14" s="220"/>
      <c r="H14" s="220"/>
      <c r="I14" s="220"/>
      <c r="J14" s="221"/>
      <c r="K14" s="220"/>
      <c r="L14" s="220"/>
      <c r="M14" s="220"/>
      <c r="N14" s="220"/>
      <c r="O14" s="220"/>
      <c r="P14" s="220"/>
      <c r="Q14" s="220"/>
      <c r="R14" s="220"/>
      <c r="S14" s="220"/>
      <c r="T14" s="220"/>
      <c r="U14" s="220"/>
      <c r="V14" s="221"/>
      <c r="W14" s="221"/>
      <c r="X14" s="221"/>
      <c r="Y14" s="221"/>
      <c r="Z14" s="221"/>
      <c r="AA14" s="221"/>
      <c r="AB14" s="221"/>
      <c r="AC14" s="221"/>
      <c r="AD14" s="221"/>
      <c r="AE14" s="221"/>
      <c r="AF14" s="221"/>
      <c r="AG14" s="221"/>
      <c r="AH14" s="221"/>
      <c r="AI14" s="221"/>
      <c r="AJ14" s="221"/>
      <c r="AK14" s="221"/>
      <c r="AL14" s="221"/>
    </row>
    <row r="15" spans="1:38" x14ac:dyDescent="0.2">
      <c r="A15" s="219" t="s">
        <v>26</v>
      </c>
      <c r="B15" s="220"/>
      <c r="C15" s="220"/>
      <c r="D15" s="220"/>
      <c r="E15" s="220"/>
      <c r="F15" s="220"/>
      <c r="G15" s="220"/>
      <c r="H15" s="220"/>
      <c r="I15" s="220"/>
      <c r="J15" s="221"/>
      <c r="K15" s="220"/>
      <c r="L15" s="220"/>
      <c r="M15" s="220"/>
      <c r="N15" s="220"/>
      <c r="O15" s="220"/>
      <c r="P15" s="220"/>
      <c r="Q15" s="220"/>
      <c r="R15" s="220"/>
      <c r="S15" s="220"/>
      <c r="T15" s="220"/>
      <c r="U15" s="220"/>
      <c r="V15" s="221"/>
      <c r="W15" s="221"/>
      <c r="X15" s="221"/>
      <c r="Y15" s="221"/>
      <c r="Z15" s="221"/>
      <c r="AA15" s="221"/>
      <c r="AB15" s="221"/>
      <c r="AC15" s="221"/>
      <c r="AD15" s="221"/>
      <c r="AE15" s="221"/>
      <c r="AF15" s="221"/>
      <c r="AG15" s="221"/>
      <c r="AH15" s="221"/>
      <c r="AI15" s="221"/>
      <c r="AJ15" s="221"/>
      <c r="AK15" s="221"/>
      <c r="AL15" s="221"/>
    </row>
    <row r="16" spans="1:38" x14ac:dyDescent="0.2">
      <c r="A16" s="219" t="s">
        <v>27</v>
      </c>
      <c r="B16" s="220"/>
      <c r="C16" s="220"/>
      <c r="D16" s="220"/>
      <c r="E16" s="220"/>
      <c r="F16" s="220"/>
      <c r="G16" s="220"/>
      <c r="H16" s="220"/>
      <c r="I16" s="220"/>
      <c r="J16" s="221"/>
      <c r="K16" s="220"/>
      <c r="L16" s="220"/>
      <c r="M16" s="220"/>
      <c r="N16" s="220"/>
      <c r="O16" s="220"/>
      <c r="P16" s="220"/>
      <c r="Q16" s="220"/>
      <c r="R16" s="220"/>
      <c r="S16" s="220"/>
      <c r="T16" s="220"/>
      <c r="U16" s="220"/>
      <c r="V16" s="221"/>
      <c r="W16" s="221"/>
      <c r="X16" s="221"/>
      <c r="Y16" s="221"/>
      <c r="Z16" s="221"/>
      <c r="AA16" s="221"/>
      <c r="AB16" s="221"/>
      <c r="AC16" s="221"/>
      <c r="AD16" s="221"/>
      <c r="AE16" s="221"/>
      <c r="AF16" s="221"/>
      <c r="AG16" s="221"/>
      <c r="AH16" s="221"/>
      <c r="AI16" s="221"/>
      <c r="AJ16" s="221"/>
      <c r="AK16" s="221"/>
      <c r="AL16" s="221"/>
    </row>
    <row r="17" spans="1:38" x14ac:dyDescent="0.2">
      <c r="A17" s="219" t="s">
        <v>28</v>
      </c>
      <c r="B17" s="220"/>
      <c r="C17" s="220"/>
      <c r="D17" s="220"/>
      <c r="E17" s="220"/>
      <c r="F17" s="220"/>
      <c r="G17" s="220"/>
      <c r="H17" s="220"/>
      <c r="I17" s="220"/>
      <c r="J17" s="221"/>
      <c r="K17" s="220"/>
      <c r="L17" s="220"/>
      <c r="M17" s="220"/>
      <c r="N17" s="220"/>
      <c r="O17" s="220"/>
      <c r="P17" s="220"/>
      <c r="Q17" s="220"/>
      <c r="R17" s="220"/>
      <c r="S17" s="220"/>
      <c r="T17" s="220"/>
      <c r="U17" s="220"/>
      <c r="V17" s="221"/>
      <c r="W17" s="221"/>
      <c r="X17" s="221"/>
      <c r="Y17" s="221"/>
      <c r="Z17" s="221"/>
      <c r="AA17" s="221"/>
      <c r="AB17" s="221"/>
      <c r="AC17" s="221"/>
      <c r="AD17" s="221"/>
      <c r="AE17" s="221"/>
      <c r="AF17" s="221"/>
      <c r="AG17" s="221"/>
      <c r="AH17" s="221"/>
      <c r="AI17" s="221"/>
      <c r="AJ17" s="221"/>
      <c r="AK17" s="221"/>
      <c r="AL17" s="221"/>
    </row>
    <row r="18" spans="1:38" x14ac:dyDescent="0.2">
      <c r="A18" s="219" t="s">
        <v>29</v>
      </c>
      <c r="B18" s="220"/>
      <c r="C18" s="220"/>
      <c r="D18" s="220"/>
      <c r="E18" s="220"/>
      <c r="F18" s="220"/>
      <c r="G18" s="220"/>
      <c r="H18" s="220"/>
      <c r="I18" s="220"/>
      <c r="J18" s="221"/>
      <c r="K18" s="220"/>
      <c r="L18" s="220"/>
      <c r="M18" s="220"/>
      <c r="N18" s="220"/>
      <c r="O18" s="220"/>
      <c r="P18" s="220"/>
      <c r="Q18" s="220"/>
      <c r="R18" s="220"/>
      <c r="S18" s="220"/>
      <c r="T18" s="220"/>
      <c r="U18" s="220"/>
      <c r="V18" s="221"/>
      <c r="W18" s="221"/>
      <c r="X18" s="221"/>
      <c r="Y18" s="221"/>
      <c r="Z18" s="221"/>
      <c r="AA18" s="221"/>
      <c r="AB18" s="221"/>
      <c r="AC18" s="221"/>
      <c r="AD18" s="221"/>
      <c r="AE18" s="221"/>
      <c r="AF18" s="221"/>
      <c r="AG18" s="221"/>
      <c r="AH18" s="221"/>
      <c r="AI18" s="221"/>
      <c r="AJ18" s="221"/>
      <c r="AK18" s="221"/>
      <c r="AL18" s="221"/>
    </row>
    <row r="19" spans="1:38" x14ac:dyDescent="0.2">
      <c r="A19" s="219" t="s">
        <v>30</v>
      </c>
      <c r="B19" s="220"/>
      <c r="C19" s="220"/>
      <c r="D19" s="220"/>
      <c r="E19" s="220"/>
      <c r="F19" s="220"/>
      <c r="G19" s="220"/>
      <c r="H19" s="220"/>
      <c r="I19" s="220"/>
      <c r="J19" s="221"/>
      <c r="K19" s="220"/>
      <c r="L19" s="220"/>
      <c r="M19" s="220"/>
      <c r="N19" s="220"/>
      <c r="O19" s="220"/>
      <c r="P19" s="220"/>
      <c r="Q19" s="220"/>
      <c r="R19" s="220"/>
      <c r="S19" s="220"/>
      <c r="T19" s="220"/>
      <c r="U19" s="220"/>
      <c r="V19" s="221"/>
      <c r="W19" s="221"/>
      <c r="X19" s="221"/>
      <c r="Y19" s="221"/>
      <c r="Z19" s="221"/>
      <c r="AA19" s="221"/>
      <c r="AB19" s="221"/>
      <c r="AC19" s="221"/>
      <c r="AD19" s="221"/>
      <c r="AE19" s="221"/>
      <c r="AF19" s="221"/>
      <c r="AG19" s="221"/>
      <c r="AH19" s="221"/>
      <c r="AI19" s="221"/>
      <c r="AJ19" s="221"/>
      <c r="AK19" s="221"/>
      <c r="AL19" s="221"/>
    </row>
    <row r="20" spans="1:38" x14ac:dyDescent="0.2">
      <c r="A20" s="219" t="s">
        <v>31</v>
      </c>
      <c r="B20" s="220"/>
      <c r="C20" s="220"/>
      <c r="D20" s="220"/>
      <c r="E20" s="220"/>
      <c r="F20" s="220"/>
      <c r="G20" s="220"/>
      <c r="H20" s="220"/>
      <c r="I20" s="220"/>
      <c r="J20" s="221"/>
      <c r="K20" s="220"/>
      <c r="L20" s="220"/>
      <c r="M20" s="220"/>
      <c r="N20" s="220"/>
      <c r="O20" s="220"/>
      <c r="P20" s="220"/>
      <c r="Q20" s="220"/>
      <c r="R20" s="220"/>
      <c r="S20" s="220"/>
      <c r="T20" s="220"/>
      <c r="U20" s="220"/>
      <c r="V20" s="221"/>
      <c r="W20" s="221"/>
      <c r="X20" s="221"/>
      <c r="Y20" s="221"/>
      <c r="Z20" s="221"/>
      <c r="AA20" s="221"/>
      <c r="AB20" s="221"/>
      <c r="AC20" s="221"/>
      <c r="AD20" s="221"/>
      <c r="AE20" s="221"/>
      <c r="AF20" s="221"/>
      <c r="AG20" s="221"/>
      <c r="AH20" s="221"/>
      <c r="AI20" s="221"/>
      <c r="AJ20" s="221"/>
      <c r="AK20" s="221"/>
      <c r="AL20" s="221"/>
    </row>
    <row r="21" spans="1:38" x14ac:dyDescent="0.2">
      <c r="A21" s="219" t="s">
        <v>32</v>
      </c>
      <c r="B21" s="220"/>
      <c r="C21" s="220"/>
      <c r="D21" s="220"/>
      <c r="E21" s="220"/>
      <c r="F21" s="220"/>
      <c r="G21" s="220"/>
      <c r="H21" s="220"/>
      <c r="I21" s="220"/>
      <c r="J21" s="221"/>
      <c r="K21" s="220"/>
      <c r="L21" s="220"/>
      <c r="M21" s="220"/>
      <c r="N21" s="220"/>
      <c r="O21" s="220"/>
      <c r="P21" s="220"/>
      <c r="Q21" s="220"/>
      <c r="R21" s="220"/>
      <c r="S21" s="220"/>
      <c r="T21" s="220"/>
      <c r="U21" s="220"/>
      <c r="V21" s="221"/>
      <c r="W21" s="221"/>
      <c r="X21" s="221"/>
      <c r="Y21" s="221"/>
      <c r="Z21" s="221"/>
      <c r="AA21" s="221"/>
      <c r="AB21" s="221"/>
      <c r="AC21" s="221"/>
      <c r="AD21" s="221"/>
      <c r="AE21" s="221"/>
      <c r="AF21" s="221"/>
      <c r="AG21" s="221"/>
      <c r="AH21" s="221"/>
      <c r="AI21" s="221"/>
      <c r="AJ21" s="221"/>
      <c r="AK21" s="221"/>
      <c r="AL21" s="221"/>
    </row>
    <row r="22" spans="1:38" x14ac:dyDescent="0.2">
      <c r="A22" s="219" t="s">
        <v>33</v>
      </c>
      <c r="B22" s="220"/>
      <c r="C22" s="220"/>
      <c r="D22" s="220"/>
      <c r="E22" s="220"/>
      <c r="F22" s="220"/>
      <c r="G22" s="220"/>
      <c r="H22" s="220"/>
      <c r="I22" s="220"/>
      <c r="J22" s="221"/>
      <c r="K22" s="220"/>
      <c r="L22" s="220"/>
      <c r="M22" s="220"/>
      <c r="N22" s="220"/>
      <c r="O22" s="220"/>
      <c r="P22" s="220"/>
      <c r="Q22" s="220"/>
      <c r="R22" s="220"/>
      <c r="S22" s="220"/>
      <c r="T22" s="220"/>
      <c r="U22" s="220"/>
      <c r="V22" s="221"/>
      <c r="W22" s="221"/>
      <c r="X22" s="221"/>
      <c r="Y22" s="221"/>
      <c r="Z22" s="221"/>
      <c r="AA22" s="221"/>
      <c r="AB22" s="221"/>
      <c r="AC22" s="221"/>
      <c r="AD22" s="221"/>
      <c r="AE22" s="221"/>
      <c r="AF22" s="221"/>
      <c r="AG22" s="221"/>
      <c r="AH22" s="221"/>
      <c r="AI22" s="221"/>
      <c r="AJ22" s="221"/>
      <c r="AK22" s="221"/>
      <c r="AL22" s="221"/>
    </row>
    <row r="23" spans="1:38" x14ac:dyDescent="0.2">
      <c r="A23" s="219" t="s">
        <v>34</v>
      </c>
      <c r="B23" s="220"/>
      <c r="C23" s="220"/>
      <c r="D23" s="220"/>
      <c r="E23" s="220"/>
      <c r="F23" s="220"/>
      <c r="G23" s="220"/>
      <c r="H23" s="220"/>
      <c r="I23" s="220"/>
      <c r="J23" s="221"/>
      <c r="K23" s="220"/>
      <c r="L23" s="220"/>
      <c r="M23" s="220"/>
      <c r="N23" s="220"/>
      <c r="O23" s="220"/>
      <c r="P23" s="220"/>
      <c r="Q23" s="220"/>
      <c r="R23" s="220"/>
      <c r="S23" s="220"/>
      <c r="T23" s="220"/>
      <c r="U23" s="220"/>
      <c r="V23" s="221"/>
      <c r="W23" s="221"/>
      <c r="X23" s="221"/>
      <c r="Y23" s="221"/>
      <c r="Z23" s="221"/>
      <c r="AA23" s="221"/>
      <c r="AB23" s="221"/>
      <c r="AC23" s="221"/>
      <c r="AD23" s="221"/>
      <c r="AE23" s="221"/>
      <c r="AF23" s="221"/>
      <c r="AG23" s="221"/>
      <c r="AH23" s="221"/>
      <c r="AI23" s="221"/>
      <c r="AJ23" s="221"/>
      <c r="AK23" s="221"/>
      <c r="AL23" s="221"/>
    </row>
    <row r="24" spans="1:38" x14ac:dyDescent="0.2">
      <c r="A24" s="219" t="s">
        <v>35</v>
      </c>
      <c r="B24" s="220"/>
      <c r="C24" s="220"/>
      <c r="D24" s="220"/>
      <c r="E24" s="220"/>
      <c r="F24" s="220"/>
      <c r="G24" s="220"/>
      <c r="H24" s="220"/>
      <c r="I24" s="220"/>
      <c r="J24" s="221"/>
      <c r="K24" s="220"/>
      <c r="L24" s="220"/>
      <c r="M24" s="220"/>
      <c r="N24" s="220"/>
      <c r="O24" s="220"/>
      <c r="P24" s="220"/>
      <c r="Q24" s="220"/>
      <c r="R24" s="220"/>
      <c r="S24" s="220"/>
      <c r="T24" s="220"/>
      <c r="U24" s="220"/>
      <c r="V24" s="221"/>
      <c r="W24" s="221"/>
      <c r="X24" s="221"/>
      <c r="Y24" s="221"/>
      <c r="Z24" s="221"/>
      <c r="AA24" s="221"/>
      <c r="AB24" s="221"/>
      <c r="AC24" s="221"/>
      <c r="AD24" s="221"/>
      <c r="AE24" s="221"/>
      <c r="AF24" s="221"/>
      <c r="AG24" s="221"/>
      <c r="AH24" s="221"/>
      <c r="AI24" s="221"/>
      <c r="AJ24" s="221"/>
      <c r="AK24" s="221"/>
      <c r="AL24" s="221"/>
    </row>
    <row r="25" spans="1:38" x14ac:dyDescent="0.2">
      <c r="A25" s="219" t="s">
        <v>36</v>
      </c>
      <c r="B25" s="220"/>
      <c r="C25" s="220"/>
      <c r="D25" s="220"/>
      <c r="E25" s="220"/>
      <c r="F25" s="220"/>
      <c r="G25" s="220"/>
      <c r="H25" s="220"/>
      <c r="I25" s="220"/>
      <c r="J25" s="221"/>
      <c r="K25" s="220"/>
      <c r="L25" s="220"/>
      <c r="M25" s="220"/>
      <c r="N25" s="220"/>
      <c r="O25" s="220"/>
      <c r="P25" s="220"/>
      <c r="Q25" s="220"/>
      <c r="R25" s="220"/>
      <c r="S25" s="220"/>
      <c r="T25" s="220"/>
      <c r="U25" s="220"/>
      <c r="V25" s="221"/>
      <c r="W25" s="221"/>
      <c r="X25" s="221"/>
      <c r="Y25" s="221"/>
      <c r="Z25" s="221"/>
      <c r="AA25" s="221"/>
      <c r="AB25" s="221"/>
      <c r="AC25" s="221"/>
      <c r="AD25" s="221"/>
      <c r="AE25" s="221"/>
      <c r="AF25" s="221"/>
      <c r="AG25" s="221"/>
      <c r="AH25" s="221"/>
      <c r="AI25" s="221"/>
      <c r="AJ25" s="221"/>
      <c r="AK25" s="221"/>
      <c r="AL25" s="221"/>
    </row>
    <row r="26" spans="1:38" x14ac:dyDescent="0.2">
      <c r="A26" s="219" t="s">
        <v>37</v>
      </c>
      <c r="B26" s="220"/>
      <c r="C26" s="220"/>
      <c r="D26" s="220"/>
      <c r="E26" s="220"/>
      <c r="F26" s="220"/>
      <c r="G26" s="220"/>
      <c r="H26" s="220"/>
      <c r="I26" s="220"/>
      <c r="J26" s="221"/>
      <c r="K26" s="220"/>
      <c r="L26" s="220"/>
      <c r="M26" s="220"/>
      <c r="N26" s="220"/>
      <c r="O26" s="220"/>
      <c r="P26" s="220"/>
      <c r="Q26" s="220"/>
      <c r="R26" s="220"/>
      <c r="S26" s="220"/>
      <c r="T26" s="220"/>
      <c r="U26" s="220"/>
      <c r="V26" s="221"/>
      <c r="W26" s="221"/>
      <c r="X26" s="221"/>
      <c r="Y26" s="221"/>
      <c r="Z26" s="221"/>
      <c r="AA26" s="221"/>
      <c r="AB26" s="221"/>
      <c r="AC26" s="221"/>
      <c r="AD26" s="221"/>
      <c r="AE26" s="221"/>
      <c r="AF26" s="221"/>
      <c r="AG26" s="221"/>
      <c r="AH26" s="221"/>
      <c r="AI26" s="221"/>
      <c r="AJ26" s="221"/>
      <c r="AK26" s="221"/>
      <c r="AL26" s="221"/>
    </row>
    <row r="27" spans="1:38" x14ac:dyDescent="0.2">
      <c r="A27" s="219" t="s">
        <v>38</v>
      </c>
      <c r="B27" s="220"/>
      <c r="C27" s="220"/>
      <c r="D27" s="220"/>
      <c r="E27" s="220"/>
      <c r="F27" s="220"/>
      <c r="G27" s="220"/>
      <c r="H27" s="220"/>
      <c r="I27" s="220"/>
      <c r="J27" s="221"/>
      <c r="K27" s="220"/>
      <c r="L27" s="220"/>
      <c r="M27" s="220"/>
      <c r="N27" s="220"/>
      <c r="O27" s="220"/>
      <c r="P27" s="220"/>
      <c r="Q27" s="220"/>
      <c r="R27" s="220"/>
      <c r="S27" s="220"/>
      <c r="T27" s="220"/>
      <c r="U27" s="220"/>
      <c r="V27" s="221"/>
      <c r="W27" s="221"/>
      <c r="X27" s="221"/>
      <c r="Y27" s="221"/>
      <c r="Z27" s="221"/>
      <c r="AA27" s="221"/>
      <c r="AB27" s="221"/>
      <c r="AC27" s="221"/>
      <c r="AD27" s="221"/>
      <c r="AE27" s="221"/>
      <c r="AF27" s="221"/>
      <c r="AG27" s="221"/>
      <c r="AH27" s="221"/>
      <c r="AI27" s="221"/>
      <c r="AJ27" s="221"/>
      <c r="AK27" s="221"/>
      <c r="AL27" s="221"/>
    </row>
    <row r="28" spans="1:38" x14ac:dyDescent="0.2">
      <c r="A28" s="219" t="s">
        <v>39</v>
      </c>
      <c r="B28" s="220"/>
      <c r="C28" s="220"/>
      <c r="D28" s="220"/>
      <c r="E28" s="220"/>
      <c r="F28" s="220"/>
      <c r="G28" s="220"/>
      <c r="H28" s="220"/>
      <c r="I28" s="220"/>
      <c r="J28" s="221"/>
      <c r="K28" s="220"/>
      <c r="L28" s="220"/>
      <c r="M28" s="220"/>
      <c r="N28" s="220"/>
      <c r="O28" s="220"/>
      <c r="P28" s="220"/>
      <c r="Q28" s="220"/>
      <c r="R28" s="220"/>
      <c r="S28" s="220"/>
      <c r="T28" s="220"/>
      <c r="U28" s="220"/>
      <c r="V28" s="221"/>
      <c r="W28" s="221"/>
      <c r="X28" s="221"/>
      <c r="Y28" s="221"/>
      <c r="Z28" s="221"/>
      <c r="AA28" s="221"/>
      <c r="AB28" s="221"/>
      <c r="AC28" s="221"/>
      <c r="AD28" s="221"/>
      <c r="AE28" s="221"/>
      <c r="AF28" s="221"/>
      <c r="AG28" s="221"/>
      <c r="AH28" s="221"/>
      <c r="AI28" s="221"/>
      <c r="AJ28" s="221"/>
      <c r="AK28" s="221"/>
      <c r="AL28" s="221"/>
    </row>
    <row r="29" spans="1:38" x14ac:dyDescent="0.2">
      <c r="A29" s="219" t="s">
        <v>40</v>
      </c>
      <c r="B29" s="220"/>
      <c r="C29" s="220"/>
      <c r="D29" s="220"/>
      <c r="E29" s="220"/>
      <c r="F29" s="220"/>
      <c r="G29" s="220"/>
      <c r="H29" s="220"/>
      <c r="I29" s="220"/>
      <c r="J29" s="221"/>
      <c r="K29" s="220"/>
      <c r="L29" s="220"/>
      <c r="M29" s="220"/>
      <c r="N29" s="220"/>
      <c r="O29" s="220"/>
      <c r="P29" s="220"/>
      <c r="Q29" s="220"/>
      <c r="R29" s="220"/>
      <c r="S29" s="220"/>
      <c r="T29" s="220"/>
      <c r="U29" s="220"/>
      <c r="V29" s="221"/>
      <c r="W29" s="221"/>
      <c r="X29" s="221"/>
      <c r="Y29" s="221"/>
      <c r="Z29" s="221"/>
      <c r="AA29" s="221"/>
      <c r="AB29" s="221"/>
      <c r="AC29" s="221"/>
      <c r="AD29" s="221"/>
      <c r="AE29" s="221"/>
      <c r="AF29" s="221"/>
      <c r="AG29" s="221"/>
      <c r="AH29" s="221"/>
      <c r="AI29" s="221"/>
      <c r="AJ29" s="221"/>
      <c r="AK29" s="221"/>
      <c r="AL29" s="221"/>
    </row>
    <row r="30" spans="1:38" x14ac:dyDescent="0.2">
      <c r="A30" s="219" t="s">
        <v>41</v>
      </c>
      <c r="B30" s="220"/>
      <c r="C30" s="220"/>
      <c r="D30" s="220"/>
      <c r="E30" s="220"/>
      <c r="F30" s="220"/>
      <c r="G30" s="220"/>
      <c r="H30" s="220"/>
      <c r="I30" s="220"/>
      <c r="J30" s="221"/>
      <c r="K30" s="220"/>
      <c r="L30" s="220"/>
      <c r="M30" s="220"/>
      <c r="N30" s="220"/>
      <c r="O30" s="220"/>
      <c r="P30" s="220"/>
      <c r="Q30" s="220"/>
      <c r="R30" s="220"/>
      <c r="S30" s="220"/>
      <c r="T30" s="220"/>
      <c r="U30" s="220"/>
      <c r="V30" s="221"/>
      <c r="W30" s="221"/>
      <c r="X30" s="221"/>
      <c r="Y30" s="221"/>
      <c r="Z30" s="221"/>
      <c r="AA30" s="221"/>
      <c r="AB30" s="221"/>
      <c r="AC30" s="221"/>
      <c r="AD30" s="221"/>
      <c r="AE30" s="221"/>
      <c r="AF30" s="221"/>
      <c r="AG30" s="221"/>
      <c r="AH30" s="221"/>
      <c r="AI30" s="221"/>
      <c r="AJ30" s="221"/>
      <c r="AK30" s="221"/>
      <c r="AL30" s="221"/>
    </row>
    <row r="31" spans="1:38" x14ac:dyDescent="0.2">
      <c r="A31" s="219" t="s">
        <v>42</v>
      </c>
      <c r="B31" s="220"/>
      <c r="C31" s="220"/>
      <c r="D31" s="220"/>
      <c r="E31" s="220"/>
      <c r="F31" s="220"/>
      <c r="G31" s="220"/>
      <c r="H31" s="220"/>
      <c r="I31" s="220"/>
      <c r="J31" s="221"/>
      <c r="K31" s="220"/>
      <c r="L31" s="220"/>
      <c r="M31" s="220"/>
      <c r="N31" s="220"/>
      <c r="O31" s="220"/>
      <c r="P31" s="220"/>
      <c r="Q31" s="220"/>
      <c r="R31" s="220"/>
      <c r="S31" s="220"/>
      <c r="T31" s="220"/>
      <c r="U31" s="220"/>
      <c r="V31" s="221"/>
      <c r="W31" s="221"/>
      <c r="X31" s="221"/>
      <c r="Y31" s="221"/>
      <c r="Z31" s="221"/>
      <c r="AA31" s="221"/>
      <c r="AB31" s="221"/>
      <c r="AC31" s="221"/>
      <c r="AD31" s="221"/>
      <c r="AE31" s="221"/>
      <c r="AF31" s="221"/>
      <c r="AG31" s="221"/>
      <c r="AH31" s="221"/>
      <c r="AI31" s="221"/>
      <c r="AJ31" s="221"/>
      <c r="AK31" s="221"/>
      <c r="AL31" s="221"/>
    </row>
    <row r="32" spans="1:38" x14ac:dyDescent="0.2">
      <c r="A32" s="219" t="s">
        <v>43</v>
      </c>
      <c r="B32" s="220"/>
      <c r="C32" s="220"/>
      <c r="D32" s="220"/>
      <c r="E32" s="220"/>
      <c r="F32" s="220"/>
      <c r="G32" s="220"/>
      <c r="H32" s="220"/>
      <c r="I32" s="220"/>
      <c r="J32" s="221"/>
      <c r="K32" s="220"/>
      <c r="L32" s="220"/>
      <c r="M32" s="220"/>
      <c r="N32" s="220"/>
      <c r="O32" s="220"/>
      <c r="P32" s="220"/>
      <c r="Q32" s="220"/>
      <c r="R32" s="220"/>
      <c r="S32" s="220"/>
      <c r="T32" s="220"/>
      <c r="U32" s="220"/>
      <c r="V32" s="221"/>
      <c r="W32" s="221"/>
      <c r="X32" s="221"/>
      <c r="Y32" s="221"/>
      <c r="Z32" s="221"/>
      <c r="AA32" s="221"/>
      <c r="AB32" s="221"/>
      <c r="AC32" s="221"/>
      <c r="AD32" s="221"/>
      <c r="AE32" s="221"/>
      <c r="AF32" s="221"/>
      <c r="AG32" s="221"/>
      <c r="AH32" s="221"/>
      <c r="AI32" s="221"/>
      <c r="AJ32" s="221"/>
      <c r="AK32" s="221"/>
      <c r="AL32" s="221"/>
    </row>
    <row r="33" spans="1:38" x14ac:dyDescent="0.2">
      <c r="A33" s="219" t="s">
        <v>44</v>
      </c>
      <c r="B33" s="220"/>
      <c r="C33" s="220"/>
      <c r="D33" s="220"/>
      <c r="E33" s="220"/>
      <c r="F33" s="220"/>
      <c r="G33" s="220"/>
      <c r="H33" s="220"/>
      <c r="I33" s="220"/>
      <c r="J33" s="221"/>
      <c r="K33" s="220"/>
      <c r="L33" s="220"/>
      <c r="M33" s="220"/>
      <c r="N33" s="220"/>
      <c r="O33" s="220"/>
      <c r="P33" s="220"/>
      <c r="Q33" s="220"/>
      <c r="R33" s="220"/>
      <c r="S33" s="220"/>
      <c r="T33" s="220"/>
      <c r="U33" s="220"/>
      <c r="V33" s="221"/>
      <c r="W33" s="221"/>
      <c r="X33" s="221"/>
      <c r="Y33" s="221"/>
      <c r="Z33" s="221"/>
      <c r="AA33" s="221"/>
      <c r="AB33" s="221"/>
      <c r="AC33" s="221"/>
      <c r="AD33" s="221"/>
      <c r="AE33" s="221"/>
      <c r="AF33" s="221"/>
      <c r="AG33" s="221"/>
      <c r="AH33" s="221"/>
      <c r="AI33" s="221"/>
      <c r="AJ33" s="221"/>
      <c r="AK33" s="221"/>
      <c r="AL33" s="221"/>
    </row>
    <row r="34" spans="1:38" x14ac:dyDescent="0.2">
      <c r="A34" s="219" t="s">
        <v>45</v>
      </c>
      <c r="B34" s="220"/>
      <c r="C34" s="220"/>
      <c r="D34" s="220"/>
      <c r="E34" s="220"/>
      <c r="F34" s="220"/>
      <c r="G34" s="220"/>
      <c r="H34" s="220"/>
      <c r="I34" s="220"/>
      <c r="J34" s="221"/>
      <c r="K34" s="220"/>
      <c r="L34" s="220"/>
      <c r="M34" s="220"/>
      <c r="N34" s="220"/>
      <c r="O34" s="220"/>
      <c r="P34" s="220"/>
      <c r="Q34" s="220"/>
      <c r="R34" s="220"/>
      <c r="S34" s="220"/>
      <c r="T34" s="220"/>
      <c r="U34" s="220"/>
      <c r="V34" s="221"/>
      <c r="W34" s="221"/>
      <c r="X34" s="221"/>
      <c r="Y34" s="221"/>
      <c r="Z34" s="221"/>
      <c r="AA34" s="221"/>
      <c r="AB34" s="221"/>
      <c r="AC34" s="221"/>
      <c r="AD34" s="221"/>
      <c r="AE34" s="221"/>
      <c r="AF34" s="221"/>
      <c r="AG34" s="221"/>
      <c r="AH34" s="221"/>
      <c r="AI34" s="221"/>
      <c r="AJ34" s="221"/>
      <c r="AK34" s="221"/>
      <c r="AL34" s="221"/>
    </row>
    <row r="35" spans="1:38" x14ac:dyDescent="0.2">
      <c r="A35" s="219" t="s">
        <v>46</v>
      </c>
      <c r="B35" s="220"/>
      <c r="C35" s="220"/>
      <c r="D35" s="220"/>
      <c r="E35" s="220"/>
      <c r="F35" s="220"/>
      <c r="G35" s="220"/>
      <c r="H35" s="220"/>
      <c r="I35" s="220"/>
      <c r="J35" s="221"/>
      <c r="K35" s="220"/>
      <c r="L35" s="220"/>
      <c r="M35" s="220"/>
      <c r="N35" s="220"/>
      <c r="O35" s="220"/>
      <c r="P35" s="220"/>
      <c r="Q35" s="220"/>
      <c r="R35" s="220"/>
      <c r="S35" s="220"/>
      <c r="T35" s="220"/>
      <c r="U35" s="220"/>
      <c r="V35" s="221"/>
      <c r="W35" s="221"/>
      <c r="X35" s="221"/>
      <c r="Y35" s="221"/>
      <c r="Z35" s="221"/>
      <c r="AA35" s="221"/>
      <c r="AB35" s="221"/>
      <c r="AC35" s="221"/>
      <c r="AD35" s="221"/>
      <c r="AE35" s="221"/>
      <c r="AF35" s="221"/>
      <c r="AG35" s="221"/>
      <c r="AH35" s="221"/>
      <c r="AI35" s="221"/>
      <c r="AJ35" s="221"/>
      <c r="AK35" s="221"/>
      <c r="AL35" s="221"/>
    </row>
    <row r="36" spans="1:38" x14ac:dyDescent="0.2">
      <c r="A36" s="219" t="s">
        <v>47</v>
      </c>
      <c r="B36" s="220"/>
      <c r="C36" s="220"/>
      <c r="D36" s="220"/>
      <c r="E36" s="220"/>
      <c r="F36" s="220"/>
      <c r="G36" s="220"/>
      <c r="H36" s="220"/>
      <c r="I36" s="220"/>
      <c r="J36" s="221"/>
      <c r="K36" s="220"/>
      <c r="L36" s="220"/>
      <c r="M36" s="220"/>
      <c r="N36" s="220"/>
      <c r="O36" s="220"/>
      <c r="P36" s="220"/>
      <c r="Q36" s="220"/>
      <c r="R36" s="220"/>
      <c r="S36" s="220"/>
      <c r="T36" s="220"/>
      <c r="U36" s="220"/>
      <c r="V36" s="221"/>
      <c r="W36" s="221"/>
      <c r="X36" s="221"/>
      <c r="Y36" s="221"/>
      <c r="Z36" s="221"/>
      <c r="AA36" s="221"/>
      <c r="AB36" s="221"/>
      <c r="AC36" s="221"/>
      <c r="AD36" s="221"/>
      <c r="AE36" s="221"/>
      <c r="AF36" s="221"/>
      <c r="AG36" s="221"/>
      <c r="AH36" s="221"/>
      <c r="AI36" s="221"/>
      <c r="AJ36" s="221"/>
      <c r="AK36" s="221"/>
      <c r="AL36" s="221"/>
    </row>
    <row r="37" spans="1:38" x14ac:dyDescent="0.2">
      <c r="A37" s="219" t="s">
        <v>48</v>
      </c>
      <c r="B37" s="220"/>
      <c r="C37" s="220"/>
      <c r="D37" s="220"/>
      <c r="E37" s="220"/>
      <c r="F37" s="220"/>
      <c r="G37" s="220"/>
      <c r="H37" s="220"/>
      <c r="I37" s="220"/>
      <c r="J37" s="221"/>
      <c r="K37" s="220"/>
      <c r="L37" s="220"/>
      <c r="M37" s="220"/>
      <c r="N37" s="220"/>
      <c r="O37" s="220"/>
      <c r="P37" s="220"/>
      <c r="Q37" s="220"/>
      <c r="R37" s="220"/>
      <c r="S37" s="220"/>
      <c r="T37" s="220"/>
      <c r="U37" s="220"/>
      <c r="V37" s="221"/>
      <c r="W37" s="221"/>
      <c r="X37" s="221"/>
      <c r="Y37" s="221"/>
      <c r="Z37" s="221"/>
      <c r="AA37" s="221"/>
      <c r="AB37" s="221"/>
      <c r="AC37" s="221"/>
      <c r="AD37" s="221"/>
      <c r="AE37" s="221"/>
      <c r="AF37" s="221"/>
      <c r="AG37" s="221"/>
      <c r="AH37" s="221"/>
      <c r="AI37" s="221"/>
      <c r="AJ37" s="221"/>
      <c r="AK37" s="221"/>
      <c r="AL37" s="221"/>
    </row>
    <row r="38" spans="1:38" x14ac:dyDescent="0.2">
      <c r="A38" s="219" t="s">
        <v>49</v>
      </c>
      <c r="B38" s="220"/>
      <c r="C38" s="220"/>
      <c r="D38" s="220"/>
      <c r="E38" s="220"/>
      <c r="F38" s="220"/>
      <c r="G38" s="220"/>
      <c r="H38" s="220"/>
      <c r="I38" s="220"/>
      <c r="J38" s="221"/>
      <c r="K38" s="220"/>
      <c r="L38" s="220"/>
      <c r="M38" s="220"/>
      <c r="N38" s="220"/>
      <c r="O38" s="220"/>
      <c r="P38" s="220"/>
      <c r="Q38" s="220"/>
      <c r="R38" s="220"/>
      <c r="S38" s="220"/>
      <c r="T38" s="220"/>
      <c r="U38" s="220"/>
      <c r="V38" s="221"/>
      <c r="W38" s="221"/>
      <c r="X38" s="221"/>
      <c r="Y38" s="221"/>
      <c r="Z38" s="221"/>
      <c r="AA38" s="221"/>
      <c r="AB38" s="221"/>
      <c r="AC38" s="221"/>
      <c r="AD38" s="221"/>
      <c r="AE38" s="221"/>
      <c r="AF38" s="221"/>
      <c r="AG38" s="221"/>
      <c r="AH38" s="221"/>
      <c r="AI38" s="221"/>
      <c r="AJ38" s="221"/>
      <c r="AK38" s="221"/>
      <c r="AL38" s="221"/>
    </row>
    <row r="39" spans="1:38" x14ac:dyDescent="0.2">
      <c r="A39" s="219" t="s">
        <v>50</v>
      </c>
      <c r="B39" s="220"/>
      <c r="C39" s="220"/>
      <c r="D39" s="220"/>
      <c r="E39" s="220"/>
      <c r="F39" s="220"/>
      <c r="G39" s="220"/>
      <c r="H39" s="220"/>
      <c r="I39" s="220"/>
      <c r="J39" s="221"/>
      <c r="K39" s="220"/>
      <c r="L39" s="220"/>
      <c r="M39" s="220"/>
      <c r="N39" s="220"/>
      <c r="O39" s="220"/>
      <c r="P39" s="220"/>
      <c r="Q39" s="220"/>
      <c r="R39" s="220"/>
      <c r="S39" s="220"/>
      <c r="T39" s="220"/>
      <c r="U39" s="220"/>
      <c r="V39" s="221"/>
      <c r="W39" s="221"/>
      <c r="X39" s="221"/>
      <c r="Y39" s="221"/>
      <c r="Z39" s="221"/>
      <c r="AA39" s="221"/>
      <c r="AB39" s="221"/>
      <c r="AC39" s="221"/>
      <c r="AD39" s="221"/>
      <c r="AE39" s="221"/>
      <c r="AF39" s="221"/>
      <c r="AG39" s="221"/>
      <c r="AH39" s="221"/>
      <c r="AI39" s="221"/>
      <c r="AJ39" s="221"/>
      <c r="AK39" s="221"/>
      <c r="AL39" s="221"/>
    </row>
    <row r="40" spans="1:38" x14ac:dyDescent="0.2">
      <c r="A40" s="219" t="s">
        <v>51</v>
      </c>
      <c r="B40" s="220"/>
      <c r="C40" s="220"/>
      <c r="D40" s="220"/>
      <c r="E40" s="220"/>
      <c r="F40" s="220"/>
      <c r="G40" s="220"/>
      <c r="H40" s="220"/>
      <c r="I40" s="220"/>
      <c r="J40" s="221"/>
      <c r="K40" s="220"/>
      <c r="L40" s="220"/>
      <c r="M40" s="220"/>
      <c r="N40" s="220"/>
      <c r="O40" s="220"/>
      <c r="P40" s="220"/>
      <c r="Q40" s="220"/>
      <c r="R40" s="220"/>
      <c r="S40" s="220"/>
      <c r="T40" s="220"/>
      <c r="U40" s="220"/>
      <c r="V40" s="221"/>
      <c r="W40" s="221"/>
      <c r="X40" s="221"/>
      <c r="Y40" s="221"/>
      <c r="Z40" s="221"/>
      <c r="AA40" s="221"/>
      <c r="AB40" s="221"/>
      <c r="AC40" s="221"/>
      <c r="AD40" s="221"/>
      <c r="AE40" s="221"/>
      <c r="AF40" s="221"/>
      <c r="AG40" s="221"/>
      <c r="AH40" s="221"/>
      <c r="AI40" s="221"/>
      <c r="AJ40" s="221"/>
      <c r="AK40" s="221"/>
      <c r="AL40" s="221"/>
    </row>
    <row r="41" spans="1:38" x14ac:dyDescent="0.2">
      <c r="A41" s="219" t="s">
        <v>52</v>
      </c>
      <c r="B41" s="220"/>
      <c r="C41" s="220"/>
      <c r="D41" s="220"/>
      <c r="E41" s="220"/>
      <c r="F41" s="220"/>
      <c r="G41" s="220"/>
      <c r="H41" s="220"/>
      <c r="I41" s="220"/>
      <c r="J41" s="221"/>
      <c r="K41" s="220"/>
      <c r="L41" s="220"/>
      <c r="M41" s="220"/>
      <c r="N41" s="220"/>
      <c r="O41" s="220"/>
      <c r="P41" s="220"/>
      <c r="Q41" s="220"/>
      <c r="R41" s="220"/>
      <c r="S41" s="220"/>
      <c r="T41" s="220"/>
      <c r="U41" s="220"/>
      <c r="V41" s="221"/>
      <c r="W41" s="221"/>
      <c r="X41" s="221"/>
      <c r="Y41" s="221"/>
      <c r="Z41" s="221"/>
      <c r="AA41" s="221"/>
      <c r="AB41" s="221"/>
      <c r="AC41" s="221"/>
      <c r="AD41" s="221"/>
      <c r="AE41" s="221"/>
      <c r="AF41" s="221"/>
      <c r="AG41" s="221"/>
      <c r="AH41" s="221"/>
      <c r="AI41" s="221"/>
      <c r="AJ41" s="221"/>
      <c r="AK41" s="221"/>
      <c r="AL41" s="221"/>
    </row>
    <row r="42" spans="1:38" x14ac:dyDescent="0.2">
      <c r="A42" s="219" t="s">
        <v>53</v>
      </c>
      <c r="B42" s="220"/>
      <c r="C42" s="220"/>
      <c r="D42" s="220"/>
      <c r="E42" s="220"/>
      <c r="F42" s="220"/>
      <c r="G42" s="220"/>
      <c r="H42" s="220"/>
      <c r="I42" s="220"/>
      <c r="J42" s="221"/>
      <c r="K42" s="220"/>
      <c r="L42" s="220"/>
      <c r="M42" s="220"/>
      <c r="N42" s="220"/>
      <c r="O42" s="220"/>
      <c r="P42" s="220"/>
      <c r="Q42" s="220"/>
      <c r="R42" s="220"/>
      <c r="S42" s="220"/>
      <c r="T42" s="220"/>
      <c r="U42" s="220"/>
      <c r="V42" s="221"/>
      <c r="W42" s="221"/>
      <c r="X42" s="221"/>
      <c r="Y42" s="221"/>
      <c r="Z42" s="221"/>
      <c r="AA42" s="221"/>
      <c r="AB42" s="221"/>
      <c r="AC42" s="221"/>
      <c r="AD42" s="221"/>
      <c r="AE42" s="221"/>
      <c r="AF42" s="221"/>
      <c r="AG42" s="221"/>
      <c r="AH42" s="221"/>
      <c r="AI42" s="221"/>
      <c r="AJ42" s="221"/>
      <c r="AK42" s="221"/>
      <c r="AL42" s="221"/>
    </row>
    <row r="43" spans="1:38" x14ac:dyDescent="0.2">
      <c r="A43" s="219" t="s">
        <v>54</v>
      </c>
      <c r="B43" s="220"/>
      <c r="C43" s="220"/>
      <c r="D43" s="220"/>
      <c r="E43" s="220"/>
      <c r="F43" s="220"/>
      <c r="G43" s="220"/>
      <c r="H43" s="220"/>
      <c r="I43" s="220"/>
      <c r="J43" s="221"/>
      <c r="K43" s="220"/>
      <c r="L43" s="220"/>
      <c r="M43" s="220"/>
      <c r="N43" s="220"/>
      <c r="O43" s="220"/>
      <c r="P43" s="220"/>
      <c r="Q43" s="220"/>
      <c r="R43" s="220"/>
      <c r="S43" s="220"/>
      <c r="T43" s="220"/>
      <c r="U43" s="220"/>
      <c r="V43" s="221"/>
      <c r="W43" s="221"/>
      <c r="X43" s="221"/>
      <c r="Y43" s="221"/>
      <c r="Z43" s="221"/>
      <c r="AA43" s="221"/>
      <c r="AB43" s="221"/>
      <c r="AC43" s="221"/>
      <c r="AD43" s="221"/>
      <c r="AE43" s="221"/>
      <c r="AF43" s="221"/>
      <c r="AG43" s="221"/>
      <c r="AH43" s="221"/>
      <c r="AI43" s="221"/>
      <c r="AJ43" s="221"/>
      <c r="AK43" s="221"/>
      <c r="AL43" s="221"/>
    </row>
    <row r="44" spans="1:38" x14ac:dyDescent="0.2">
      <c r="A44" s="219" t="s">
        <v>55</v>
      </c>
      <c r="B44" s="220"/>
      <c r="C44" s="220"/>
      <c r="D44" s="220"/>
      <c r="E44" s="220"/>
      <c r="F44" s="220"/>
      <c r="G44" s="220"/>
      <c r="H44" s="220"/>
      <c r="I44" s="220"/>
      <c r="J44" s="221"/>
      <c r="K44" s="220"/>
      <c r="L44" s="220"/>
      <c r="M44" s="220"/>
      <c r="N44" s="220"/>
      <c r="O44" s="220"/>
      <c r="P44" s="220"/>
      <c r="Q44" s="220"/>
      <c r="R44" s="220"/>
      <c r="S44" s="220"/>
      <c r="T44" s="220"/>
      <c r="U44" s="220"/>
      <c r="V44" s="221"/>
      <c r="W44" s="221"/>
      <c r="X44" s="221"/>
      <c r="Y44" s="221"/>
      <c r="Z44" s="221"/>
      <c r="AA44" s="221"/>
      <c r="AB44" s="221"/>
      <c r="AC44" s="221"/>
      <c r="AD44" s="221"/>
      <c r="AE44" s="221"/>
      <c r="AF44" s="221"/>
      <c r="AG44" s="221"/>
      <c r="AH44" s="221"/>
      <c r="AI44" s="221"/>
      <c r="AJ44" s="221"/>
      <c r="AK44" s="221"/>
      <c r="AL44" s="221"/>
    </row>
    <row r="45" spans="1:38" x14ac:dyDescent="0.2">
      <c r="A45" s="219" t="s">
        <v>56</v>
      </c>
      <c r="B45" s="220"/>
      <c r="C45" s="220"/>
      <c r="D45" s="220"/>
      <c r="E45" s="220"/>
      <c r="F45" s="220"/>
      <c r="G45" s="220"/>
      <c r="H45" s="220"/>
      <c r="I45" s="220"/>
      <c r="J45" s="221"/>
      <c r="K45" s="220"/>
      <c r="L45" s="220"/>
      <c r="M45" s="220"/>
      <c r="N45" s="220"/>
      <c r="O45" s="220"/>
      <c r="P45" s="220"/>
      <c r="Q45" s="220"/>
      <c r="R45" s="220"/>
      <c r="S45" s="220"/>
      <c r="T45" s="220"/>
      <c r="U45" s="220"/>
      <c r="V45" s="221"/>
      <c r="W45" s="221"/>
      <c r="X45" s="221"/>
      <c r="Y45" s="221"/>
      <c r="Z45" s="221"/>
      <c r="AA45" s="221"/>
      <c r="AB45" s="221"/>
      <c r="AC45" s="221"/>
      <c r="AD45" s="221"/>
      <c r="AE45" s="221"/>
      <c r="AF45" s="221"/>
      <c r="AG45" s="221"/>
      <c r="AH45" s="221"/>
      <c r="AI45" s="221"/>
      <c r="AJ45" s="221"/>
      <c r="AK45" s="221"/>
      <c r="AL45" s="221"/>
    </row>
    <row r="46" spans="1:38" x14ac:dyDescent="0.2">
      <c r="A46" s="219" t="s">
        <v>57</v>
      </c>
      <c r="B46" s="220"/>
      <c r="C46" s="220"/>
      <c r="D46" s="220"/>
      <c r="E46" s="220"/>
      <c r="F46" s="220"/>
      <c r="G46" s="220"/>
      <c r="H46" s="220"/>
      <c r="I46" s="220"/>
      <c r="J46" s="221"/>
      <c r="K46" s="220"/>
      <c r="L46" s="220"/>
      <c r="M46" s="220"/>
      <c r="N46" s="220"/>
      <c r="O46" s="220"/>
      <c r="P46" s="220"/>
      <c r="Q46" s="220"/>
      <c r="R46" s="220"/>
      <c r="S46" s="220"/>
      <c r="T46" s="220"/>
      <c r="U46" s="220"/>
      <c r="V46" s="221"/>
      <c r="W46" s="221"/>
      <c r="X46" s="221"/>
      <c r="Y46" s="221"/>
      <c r="Z46" s="221"/>
      <c r="AA46" s="221"/>
      <c r="AB46" s="221"/>
      <c r="AC46" s="221"/>
      <c r="AD46" s="221"/>
      <c r="AE46" s="221"/>
      <c r="AF46" s="221"/>
      <c r="AG46" s="221"/>
      <c r="AH46" s="221"/>
      <c r="AI46" s="221"/>
      <c r="AJ46" s="221"/>
      <c r="AK46" s="221"/>
      <c r="AL46" s="221"/>
    </row>
    <row r="47" spans="1:38" x14ac:dyDescent="0.2">
      <c r="A47" s="219" t="s">
        <v>58</v>
      </c>
      <c r="B47" s="220"/>
      <c r="C47" s="220"/>
      <c r="D47" s="220"/>
      <c r="E47" s="220"/>
      <c r="F47" s="220"/>
      <c r="G47" s="220"/>
      <c r="H47" s="220"/>
      <c r="I47" s="220"/>
      <c r="J47" s="221"/>
      <c r="K47" s="220"/>
      <c r="L47" s="220"/>
      <c r="M47" s="220"/>
      <c r="N47" s="220"/>
      <c r="O47" s="220"/>
      <c r="P47" s="220"/>
      <c r="Q47" s="220"/>
      <c r="R47" s="220"/>
      <c r="S47" s="220"/>
      <c r="T47" s="220"/>
      <c r="U47" s="220"/>
      <c r="V47" s="221"/>
      <c r="W47" s="221"/>
      <c r="X47" s="221"/>
      <c r="Y47" s="221"/>
      <c r="Z47" s="221"/>
      <c r="AA47" s="221"/>
      <c r="AB47" s="221"/>
      <c r="AC47" s="221"/>
      <c r="AD47" s="221"/>
      <c r="AE47" s="221"/>
      <c r="AF47" s="221"/>
      <c r="AG47" s="221"/>
      <c r="AH47" s="221"/>
      <c r="AI47" s="221"/>
      <c r="AJ47" s="221"/>
      <c r="AK47" s="221"/>
      <c r="AL47" s="221"/>
    </row>
    <row r="48" spans="1:38" x14ac:dyDescent="0.2">
      <c r="A48" s="219" t="s">
        <v>59</v>
      </c>
      <c r="B48" s="220"/>
      <c r="C48" s="220"/>
      <c r="D48" s="220"/>
      <c r="E48" s="220"/>
      <c r="F48" s="220"/>
      <c r="G48" s="220"/>
      <c r="H48" s="220"/>
      <c r="I48" s="220"/>
      <c r="J48" s="221"/>
      <c r="K48" s="220"/>
      <c r="L48" s="220"/>
      <c r="M48" s="220"/>
      <c r="N48" s="220"/>
      <c r="O48" s="220"/>
      <c r="P48" s="220"/>
      <c r="Q48" s="220"/>
      <c r="R48" s="220"/>
      <c r="S48" s="220"/>
      <c r="T48" s="220"/>
      <c r="U48" s="220"/>
      <c r="V48" s="221"/>
      <c r="W48" s="221"/>
      <c r="X48" s="221"/>
      <c r="Y48" s="221"/>
      <c r="Z48" s="221"/>
      <c r="AA48" s="221"/>
      <c r="AB48" s="221"/>
      <c r="AC48" s="221"/>
      <c r="AD48" s="221"/>
      <c r="AE48" s="221"/>
      <c r="AF48" s="221"/>
      <c r="AG48" s="221"/>
      <c r="AH48" s="221"/>
      <c r="AI48" s="221"/>
      <c r="AJ48" s="221"/>
      <c r="AK48" s="221"/>
      <c r="AL48" s="221"/>
    </row>
    <row r="49" spans="1:38" x14ac:dyDescent="0.2">
      <c r="A49" s="219" t="s">
        <v>60</v>
      </c>
      <c r="B49" s="220"/>
      <c r="C49" s="220"/>
      <c r="D49" s="220"/>
      <c r="E49" s="220"/>
      <c r="F49" s="220"/>
      <c r="G49" s="220"/>
      <c r="H49" s="220"/>
      <c r="I49" s="220"/>
      <c r="J49" s="221"/>
      <c r="K49" s="220"/>
      <c r="L49" s="220"/>
      <c r="M49" s="220"/>
      <c r="N49" s="220"/>
      <c r="O49" s="220"/>
      <c r="P49" s="220"/>
      <c r="Q49" s="220"/>
      <c r="R49" s="220"/>
      <c r="S49" s="220"/>
      <c r="T49" s="220"/>
      <c r="U49" s="220"/>
      <c r="V49" s="221"/>
      <c r="W49" s="221"/>
      <c r="X49" s="221"/>
      <c r="Y49" s="221"/>
      <c r="Z49" s="221"/>
      <c r="AA49" s="221"/>
      <c r="AB49" s="221"/>
      <c r="AC49" s="221"/>
      <c r="AD49" s="221"/>
      <c r="AE49" s="221"/>
      <c r="AF49" s="221"/>
      <c r="AG49" s="221"/>
      <c r="AH49" s="221"/>
      <c r="AI49" s="221"/>
      <c r="AJ49" s="221"/>
      <c r="AK49" s="221"/>
      <c r="AL49" s="221"/>
    </row>
    <row r="50" spans="1:38" x14ac:dyDescent="0.2">
      <c r="A50" s="219" t="s">
        <v>61</v>
      </c>
      <c r="B50" s="220"/>
      <c r="C50" s="220"/>
      <c r="D50" s="220"/>
      <c r="E50" s="220"/>
      <c r="F50" s="220"/>
      <c r="G50" s="220"/>
      <c r="H50" s="220"/>
      <c r="I50" s="220"/>
      <c r="J50" s="221"/>
      <c r="K50" s="220"/>
      <c r="L50" s="220"/>
      <c r="M50" s="220"/>
      <c r="N50" s="220"/>
      <c r="O50" s="220"/>
      <c r="P50" s="220"/>
      <c r="Q50" s="220"/>
      <c r="R50" s="220"/>
      <c r="S50" s="220"/>
      <c r="T50" s="220"/>
      <c r="U50" s="220"/>
      <c r="V50" s="221"/>
      <c r="W50" s="221"/>
      <c r="X50" s="221"/>
      <c r="Y50" s="221"/>
      <c r="Z50" s="221"/>
      <c r="AA50" s="221"/>
      <c r="AB50" s="221"/>
      <c r="AC50" s="221"/>
      <c r="AD50" s="221"/>
      <c r="AE50" s="221"/>
      <c r="AF50" s="221"/>
      <c r="AG50" s="221"/>
      <c r="AH50" s="221"/>
      <c r="AI50" s="221"/>
      <c r="AJ50" s="221"/>
      <c r="AK50" s="221"/>
      <c r="AL50" s="221"/>
    </row>
    <row r="51" spans="1:38" x14ac:dyDescent="0.2">
      <c r="A51" s="219" t="s">
        <v>62</v>
      </c>
      <c r="B51" s="220"/>
      <c r="C51" s="220"/>
      <c r="D51" s="220"/>
      <c r="E51" s="220"/>
      <c r="F51" s="220"/>
      <c r="G51" s="220"/>
      <c r="H51" s="220"/>
      <c r="I51" s="220"/>
      <c r="J51" s="221"/>
      <c r="K51" s="220"/>
      <c r="L51" s="220"/>
      <c r="M51" s="220"/>
      <c r="N51" s="220"/>
      <c r="O51" s="220"/>
      <c r="P51" s="220"/>
      <c r="Q51" s="220"/>
      <c r="R51" s="220"/>
      <c r="S51" s="220"/>
      <c r="T51" s="220"/>
      <c r="U51" s="220"/>
      <c r="V51" s="221"/>
      <c r="W51" s="221"/>
      <c r="X51" s="221"/>
      <c r="Y51" s="221"/>
      <c r="Z51" s="221"/>
      <c r="AA51" s="221"/>
      <c r="AB51" s="221"/>
      <c r="AC51" s="221"/>
      <c r="AD51" s="221"/>
      <c r="AE51" s="221"/>
      <c r="AF51" s="221"/>
      <c r="AG51" s="221"/>
      <c r="AH51" s="221"/>
      <c r="AI51" s="221"/>
      <c r="AJ51" s="221"/>
      <c r="AK51" s="221"/>
      <c r="AL51" s="221"/>
    </row>
    <row r="52" spans="1:38" x14ac:dyDescent="0.2">
      <c r="A52" s="219" t="s">
        <v>63</v>
      </c>
      <c r="B52" s="220"/>
      <c r="C52" s="220"/>
      <c r="D52" s="220"/>
      <c r="E52" s="220"/>
      <c r="F52" s="220"/>
      <c r="G52" s="220"/>
      <c r="H52" s="220"/>
      <c r="I52" s="220"/>
      <c r="J52" s="221"/>
      <c r="K52" s="220"/>
      <c r="L52" s="220"/>
      <c r="M52" s="220"/>
      <c r="N52" s="220"/>
      <c r="O52" s="220"/>
      <c r="P52" s="220"/>
      <c r="Q52" s="220"/>
      <c r="R52" s="220"/>
      <c r="S52" s="220"/>
      <c r="T52" s="220"/>
      <c r="U52" s="220"/>
      <c r="V52" s="221"/>
      <c r="W52" s="221"/>
      <c r="X52" s="221"/>
      <c r="Y52" s="221"/>
      <c r="Z52" s="221"/>
      <c r="AA52" s="221"/>
      <c r="AB52" s="221"/>
      <c r="AC52" s="221"/>
      <c r="AD52" s="221"/>
      <c r="AE52" s="221"/>
      <c r="AF52" s="221"/>
      <c r="AG52" s="221"/>
      <c r="AH52" s="221"/>
      <c r="AI52" s="221"/>
      <c r="AJ52" s="221"/>
      <c r="AK52" s="221"/>
      <c r="AL52" s="221"/>
    </row>
    <row r="53" spans="1:38" x14ac:dyDescent="0.2">
      <c r="A53" s="219" t="s">
        <v>64</v>
      </c>
      <c r="B53" s="220"/>
      <c r="C53" s="220"/>
      <c r="D53" s="220"/>
      <c r="E53" s="220"/>
      <c r="F53" s="220"/>
      <c r="G53" s="220"/>
      <c r="H53" s="220"/>
      <c r="I53" s="220"/>
      <c r="J53" s="221"/>
      <c r="K53" s="220"/>
      <c r="L53" s="220"/>
      <c r="M53" s="220"/>
      <c r="N53" s="220"/>
      <c r="O53" s="220"/>
      <c r="P53" s="220"/>
      <c r="Q53" s="220"/>
      <c r="R53" s="220"/>
      <c r="S53" s="220"/>
      <c r="T53" s="220"/>
      <c r="U53" s="220"/>
      <c r="V53" s="221"/>
      <c r="W53" s="221"/>
      <c r="X53" s="221"/>
      <c r="Y53" s="221"/>
      <c r="Z53" s="221"/>
      <c r="AA53" s="221"/>
      <c r="AB53" s="221"/>
      <c r="AC53" s="221"/>
      <c r="AD53" s="221"/>
      <c r="AE53" s="221"/>
      <c r="AF53" s="221"/>
      <c r="AG53" s="221"/>
      <c r="AH53" s="221"/>
      <c r="AI53" s="221"/>
      <c r="AJ53" s="221"/>
      <c r="AK53" s="221"/>
      <c r="AL53" s="221"/>
    </row>
    <row r="54" spans="1:38" x14ac:dyDescent="0.2">
      <c r="A54" s="219" t="s">
        <v>65</v>
      </c>
      <c r="B54" s="220"/>
      <c r="C54" s="220"/>
      <c r="D54" s="220"/>
      <c r="E54" s="220"/>
      <c r="F54" s="220"/>
      <c r="G54" s="220"/>
      <c r="H54" s="220"/>
      <c r="I54" s="220"/>
      <c r="J54" s="221"/>
      <c r="K54" s="220"/>
      <c r="L54" s="220"/>
      <c r="M54" s="220"/>
      <c r="N54" s="220"/>
      <c r="O54" s="220"/>
      <c r="P54" s="220"/>
      <c r="Q54" s="220"/>
      <c r="R54" s="220"/>
      <c r="S54" s="220"/>
      <c r="T54" s="220"/>
      <c r="U54" s="220"/>
      <c r="V54" s="221"/>
      <c r="W54" s="221"/>
      <c r="X54" s="221"/>
      <c r="Y54" s="221"/>
      <c r="Z54" s="221"/>
      <c r="AA54" s="221"/>
      <c r="AB54" s="221"/>
      <c r="AC54" s="221"/>
      <c r="AD54" s="221"/>
      <c r="AE54" s="221"/>
      <c r="AF54" s="221"/>
      <c r="AG54" s="221"/>
      <c r="AH54" s="221"/>
      <c r="AI54" s="221"/>
      <c r="AJ54" s="221"/>
      <c r="AK54" s="221"/>
      <c r="AL54" s="221"/>
    </row>
    <row r="55" spans="1:38" x14ac:dyDescent="0.2">
      <c r="A55" s="219" t="s">
        <v>66</v>
      </c>
      <c r="B55" s="220"/>
      <c r="C55" s="220"/>
      <c r="D55" s="220"/>
      <c r="E55" s="220"/>
      <c r="F55" s="220"/>
      <c r="G55" s="220"/>
      <c r="H55" s="220"/>
      <c r="I55" s="220"/>
      <c r="J55" s="221"/>
      <c r="K55" s="220"/>
      <c r="L55" s="220"/>
      <c r="M55" s="220"/>
      <c r="N55" s="220"/>
      <c r="O55" s="220"/>
      <c r="P55" s="220"/>
      <c r="Q55" s="220"/>
      <c r="R55" s="220"/>
      <c r="S55" s="220"/>
      <c r="T55" s="220"/>
      <c r="U55" s="220"/>
      <c r="V55" s="221"/>
      <c r="W55" s="221"/>
      <c r="X55" s="221"/>
      <c r="Y55" s="221"/>
      <c r="Z55" s="221"/>
      <c r="AA55" s="221"/>
      <c r="AB55" s="221"/>
      <c r="AC55" s="221"/>
      <c r="AD55" s="221"/>
      <c r="AE55" s="221"/>
      <c r="AF55" s="221"/>
      <c r="AG55" s="221"/>
      <c r="AH55" s="221"/>
      <c r="AI55" s="221"/>
      <c r="AJ55" s="221"/>
      <c r="AK55" s="221"/>
      <c r="AL55" s="221"/>
    </row>
    <row r="56" spans="1:38" x14ac:dyDescent="0.2">
      <c r="A56" s="219" t="s">
        <v>67</v>
      </c>
      <c r="B56" s="220"/>
      <c r="C56" s="220"/>
      <c r="D56" s="220"/>
      <c r="E56" s="220"/>
      <c r="F56" s="220"/>
      <c r="G56" s="220"/>
      <c r="H56" s="220"/>
      <c r="I56" s="220"/>
      <c r="J56" s="221"/>
      <c r="K56" s="220"/>
      <c r="L56" s="220"/>
      <c r="M56" s="220"/>
      <c r="N56" s="220"/>
      <c r="O56" s="220"/>
      <c r="P56" s="220"/>
      <c r="Q56" s="220"/>
      <c r="R56" s="220"/>
      <c r="S56" s="220"/>
      <c r="T56" s="220"/>
      <c r="U56" s="220"/>
      <c r="V56" s="221"/>
      <c r="W56" s="221"/>
      <c r="X56" s="221"/>
      <c r="Y56" s="221"/>
      <c r="Z56" s="221"/>
      <c r="AA56" s="221"/>
      <c r="AB56" s="221"/>
      <c r="AC56" s="221"/>
      <c r="AD56" s="221"/>
      <c r="AE56" s="221"/>
      <c r="AF56" s="221"/>
      <c r="AG56" s="221"/>
      <c r="AH56" s="221"/>
      <c r="AI56" s="221"/>
      <c r="AJ56" s="221"/>
      <c r="AK56" s="221"/>
      <c r="AL56" s="221"/>
    </row>
    <row r="57" spans="1:38" x14ac:dyDescent="0.2">
      <c r="A57" s="219" t="s">
        <v>68</v>
      </c>
      <c r="B57" s="220"/>
      <c r="C57" s="220"/>
      <c r="D57" s="220"/>
      <c r="E57" s="220"/>
      <c r="F57" s="220"/>
      <c r="G57" s="220"/>
      <c r="H57" s="220"/>
      <c r="I57" s="220"/>
      <c r="J57" s="221"/>
      <c r="K57" s="220"/>
      <c r="L57" s="220"/>
      <c r="M57" s="220"/>
      <c r="N57" s="220"/>
      <c r="O57" s="220"/>
      <c r="P57" s="220"/>
      <c r="Q57" s="220"/>
      <c r="R57" s="220"/>
      <c r="S57" s="220"/>
      <c r="T57" s="220"/>
      <c r="U57" s="220"/>
      <c r="V57" s="221"/>
      <c r="W57" s="221"/>
      <c r="X57" s="221"/>
      <c r="Y57" s="221"/>
      <c r="Z57" s="221"/>
      <c r="AA57" s="221"/>
      <c r="AB57" s="221"/>
      <c r="AC57" s="221"/>
      <c r="AD57" s="221"/>
      <c r="AE57" s="221"/>
      <c r="AF57" s="221"/>
      <c r="AG57" s="221"/>
      <c r="AH57" s="221"/>
      <c r="AI57" s="221"/>
      <c r="AJ57" s="221"/>
      <c r="AK57" s="221"/>
      <c r="AL57" s="221"/>
    </row>
    <row r="58" spans="1:38" x14ac:dyDescent="0.2">
      <c r="A58" s="219" t="s">
        <v>69</v>
      </c>
      <c r="B58" s="220"/>
      <c r="C58" s="220"/>
      <c r="D58" s="220"/>
      <c r="E58" s="220"/>
      <c r="F58" s="220"/>
      <c r="G58" s="220"/>
      <c r="H58" s="220"/>
      <c r="I58" s="220"/>
      <c r="J58" s="221"/>
      <c r="K58" s="220"/>
      <c r="L58" s="220"/>
      <c r="M58" s="220"/>
      <c r="N58" s="220"/>
      <c r="O58" s="220"/>
      <c r="P58" s="220"/>
      <c r="Q58" s="220"/>
      <c r="R58" s="220"/>
      <c r="S58" s="220"/>
      <c r="T58" s="220"/>
      <c r="U58" s="220"/>
      <c r="V58" s="221"/>
      <c r="W58" s="221"/>
      <c r="X58" s="221"/>
      <c r="Y58" s="221"/>
      <c r="Z58" s="221"/>
      <c r="AA58" s="221"/>
      <c r="AB58" s="221"/>
      <c r="AC58" s="221"/>
      <c r="AD58" s="221"/>
      <c r="AE58" s="221"/>
      <c r="AF58" s="221"/>
      <c r="AG58" s="221"/>
      <c r="AH58" s="221"/>
      <c r="AI58" s="221"/>
      <c r="AJ58" s="221"/>
      <c r="AK58" s="221"/>
      <c r="AL58" s="221"/>
    </row>
    <row r="59" spans="1:38" x14ac:dyDescent="0.2">
      <c r="A59" s="219" t="s">
        <v>70</v>
      </c>
      <c r="B59" s="220"/>
      <c r="C59" s="220"/>
      <c r="D59" s="220"/>
      <c r="E59" s="220"/>
      <c r="F59" s="220"/>
      <c r="G59" s="220"/>
      <c r="H59" s="220"/>
      <c r="I59" s="220"/>
      <c r="J59" s="221"/>
      <c r="K59" s="220"/>
      <c r="L59" s="220"/>
      <c r="M59" s="220"/>
      <c r="N59" s="220"/>
      <c r="O59" s="220"/>
      <c r="P59" s="220"/>
      <c r="Q59" s="220"/>
      <c r="R59" s="220"/>
      <c r="S59" s="220"/>
      <c r="T59" s="220"/>
      <c r="U59" s="220"/>
      <c r="V59" s="221"/>
      <c r="W59" s="221"/>
      <c r="X59" s="221"/>
      <c r="Y59" s="221"/>
      <c r="Z59" s="221"/>
      <c r="AA59" s="221"/>
      <c r="AB59" s="221"/>
      <c r="AC59" s="221"/>
      <c r="AD59" s="221"/>
      <c r="AE59" s="221"/>
      <c r="AF59" s="221"/>
      <c r="AG59" s="221"/>
      <c r="AH59" s="221"/>
      <c r="AI59" s="221"/>
      <c r="AJ59" s="221"/>
      <c r="AK59" s="221"/>
      <c r="AL59" s="221"/>
    </row>
    <row r="60" spans="1:38" x14ac:dyDescent="0.2">
      <c r="A60" s="219" t="s">
        <v>71</v>
      </c>
      <c r="B60" s="220"/>
      <c r="C60" s="220"/>
      <c r="D60" s="220"/>
      <c r="E60" s="220"/>
      <c r="F60" s="220"/>
      <c r="G60" s="220"/>
      <c r="H60" s="220"/>
      <c r="I60" s="220"/>
      <c r="J60" s="221"/>
      <c r="K60" s="220"/>
      <c r="L60" s="220"/>
      <c r="M60" s="220"/>
      <c r="N60" s="220"/>
      <c r="O60" s="220"/>
      <c r="P60" s="220"/>
      <c r="Q60" s="220"/>
      <c r="R60" s="220"/>
      <c r="S60" s="220"/>
      <c r="T60" s="220"/>
      <c r="U60" s="220"/>
      <c r="V60" s="221"/>
      <c r="W60" s="221"/>
      <c r="X60" s="221"/>
      <c r="Y60" s="221"/>
      <c r="Z60" s="221"/>
      <c r="AA60" s="221"/>
      <c r="AB60" s="221"/>
      <c r="AC60" s="221"/>
      <c r="AD60" s="221"/>
      <c r="AE60" s="221"/>
      <c r="AF60" s="221"/>
      <c r="AG60" s="221"/>
      <c r="AH60" s="221"/>
      <c r="AI60" s="221"/>
      <c r="AJ60" s="221"/>
      <c r="AK60" s="221"/>
      <c r="AL60" s="221"/>
    </row>
    <row r="61" spans="1:38" x14ac:dyDescent="0.2">
      <c r="A61" s="219" t="s">
        <v>72</v>
      </c>
      <c r="B61" s="220"/>
      <c r="C61" s="220"/>
      <c r="D61" s="220"/>
      <c r="E61" s="220"/>
      <c r="F61" s="220"/>
      <c r="G61" s="220"/>
      <c r="H61" s="220"/>
      <c r="I61" s="220"/>
      <c r="J61" s="221"/>
      <c r="K61" s="220"/>
      <c r="L61" s="220"/>
      <c r="M61" s="220"/>
      <c r="N61" s="220"/>
      <c r="O61" s="220"/>
      <c r="P61" s="220"/>
      <c r="Q61" s="220"/>
      <c r="R61" s="220"/>
      <c r="S61" s="220"/>
      <c r="T61" s="220"/>
      <c r="U61" s="220"/>
      <c r="V61" s="221"/>
      <c r="W61" s="221"/>
      <c r="X61" s="221"/>
      <c r="Y61" s="221"/>
      <c r="Z61" s="221"/>
      <c r="AA61" s="221"/>
      <c r="AB61" s="221"/>
      <c r="AC61" s="221"/>
      <c r="AD61" s="221"/>
      <c r="AE61" s="221"/>
      <c r="AF61" s="221"/>
      <c r="AG61" s="221"/>
      <c r="AH61" s="221"/>
      <c r="AI61" s="221"/>
      <c r="AJ61" s="221"/>
      <c r="AK61" s="221"/>
      <c r="AL61" s="221"/>
    </row>
    <row r="62" spans="1:38" x14ac:dyDescent="0.2">
      <c r="A62" s="219" t="s">
        <v>74</v>
      </c>
      <c r="B62" s="220"/>
      <c r="C62" s="220"/>
      <c r="D62" s="220"/>
      <c r="E62" s="220"/>
      <c r="F62" s="220"/>
      <c r="G62" s="220"/>
      <c r="H62" s="220"/>
      <c r="I62" s="220"/>
      <c r="J62" s="221"/>
      <c r="K62" s="220"/>
      <c r="L62" s="220"/>
      <c r="M62" s="220"/>
      <c r="N62" s="220"/>
      <c r="O62" s="220"/>
      <c r="P62" s="220"/>
      <c r="Q62" s="220"/>
      <c r="R62" s="220"/>
      <c r="S62" s="220"/>
      <c r="T62" s="220"/>
      <c r="U62" s="220"/>
      <c r="V62" s="221"/>
      <c r="W62" s="221"/>
      <c r="X62" s="221"/>
      <c r="Y62" s="221"/>
      <c r="Z62" s="221"/>
      <c r="AA62" s="221"/>
      <c r="AB62" s="221"/>
      <c r="AC62" s="221"/>
      <c r="AD62" s="221"/>
      <c r="AE62" s="221"/>
      <c r="AF62" s="221"/>
      <c r="AG62" s="221"/>
      <c r="AH62" s="221"/>
      <c r="AI62" s="221"/>
      <c r="AJ62" s="221"/>
      <c r="AK62" s="221"/>
      <c r="AL62" s="221"/>
    </row>
    <row r="63" spans="1:38" x14ac:dyDescent="0.2">
      <c r="A63" s="219" t="s">
        <v>75</v>
      </c>
      <c r="B63" s="220"/>
      <c r="C63" s="220"/>
      <c r="D63" s="220"/>
      <c r="E63" s="220"/>
      <c r="F63" s="220"/>
      <c r="G63" s="220"/>
      <c r="H63" s="220"/>
      <c r="I63" s="220"/>
      <c r="J63" s="221"/>
      <c r="K63" s="220"/>
      <c r="L63" s="220"/>
      <c r="M63" s="220"/>
      <c r="N63" s="220"/>
      <c r="O63" s="220"/>
      <c r="P63" s="220"/>
      <c r="Q63" s="220"/>
      <c r="R63" s="220"/>
      <c r="S63" s="220"/>
      <c r="T63" s="220"/>
      <c r="U63" s="220"/>
      <c r="V63" s="221"/>
      <c r="W63" s="221"/>
      <c r="X63" s="221"/>
      <c r="Y63" s="221"/>
      <c r="Z63" s="221"/>
      <c r="AA63" s="221"/>
      <c r="AB63" s="221"/>
      <c r="AC63" s="221"/>
      <c r="AD63" s="221"/>
      <c r="AE63" s="221"/>
      <c r="AF63" s="221"/>
      <c r="AG63" s="221"/>
      <c r="AH63" s="221"/>
      <c r="AI63" s="221"/>
      <c r="AJ63" s="221"/>
      <c r="AK63" s="221"/>
      <c r="AL63" s="221"/>
    </row>
    <row r="64" spans="1:38" x14ac:dyDescent="0.2">
      <c r="A64" s="219" t="s">
        <v>76</v>
      </c>
      <c r="B64" s="220"/>
      <c r="C64" s="220"/>
      <c r="D64" s="220"/>
      <c r="E64" s="220"/>
      <c r="F64" s="220"/>
      <c r="G64" s="220"/>
      <c r="H64" s="220"/>
      <c r="I64" s="220"/>
      <c r="J64" s="221"/>
      <c r="K64" s="220"/>
      <c r="L64" s="220"/>
      <c r="M64" s="220"/>
      <c r="N64" s="220"/>
      <c r="O64" s="220"/>
      <c r="P64" s="220"/>
      <c r="Q64" s="220"/>
      <c r="R64" s="220"/>
      <c r="S64" s="220"/>
      <c r="T64" s="220"/>
      <c r="U64" s="220"/>
      <c r="V64" s="221"/>
      <c r="W64" s="221"/>
      <c r="X64" s="221"/>
      <c r="Y64" s="221"/>
      <c r="Z64" s="221"/>
      <c r="AA64" s="221"/>
      <c r="AB64" s="221"/>
      <c r="AC64" s="221"/>
      <c r="AD64" s="221"/>
      <c r="AE64" s="221"/>
      <c r="AF64" s="221"/>
      <c r="AG64" s="221"/>
      <c r="AH64" s="221"/>
      <c r="AI64" s="221"/>
      <c r="AJ64" s="221"/>
      <c r="AK64" s="221"/>
      <c r="AL64" s="221"/>
    </row>
    <row r="65" spans="1:38" x14ac:dyDescent="0.2">
      <c r="A65" s="219" t="s">
        <v>77</v>
      </c>
      <c r="B65" s="220"/>
      <c r="C65" s="220"/>
      <c r="D65" s="220"/>
      <c r="E65" s="220"/>
      <c r="F65" s="220"/>
      <c r="G65" s="220"/>
      <c r="H65" s="220"/>
      <c r="I65" s="220"/>
      <c r="J65" s="221"/>
      <c r="K65" s="220"/>
      <c r="L65" s="220"/>
      <c r="M65" s="220"/>
      <c r="N65" s="220"/>
      <c r="O65" s="220"/>
      <c r="P65" s="220"/>
      <c r="Q65" s="220"/>
      <c r="R65" s="220"/>
      <c r="S65" s="220"/>
      <c r="T65" s="220"/>
      <c r="U65" s="220"/>
      <c r="V65" s="221"/>
      <c r="W65" s="221"/>
      <c r="X65" s="221"/>
      <c r="Y65" s="221"/>
      <c r="Z65" s="221"/>
      <c r="AA65" s="221"/>
      <c r="AB65" s="221"/>
      <c r="AC65" s="221"/>
      <c r="AD65" s="221"/>
      <c r="AE65" s="221"/>
      <c r="AF65" s="221"/>
      <c r="AG65" s="221"/>
      <c r="AH65" s="221"/>
      <c r="AI65" s="221"/>
      <c r="AJ65" s="221"/>
      <c r="AK65" s="221"/>
      <c r="AL65" s="221"/>
    </row>
    <row r="66" spans="1:38" x14ac:dyDescent="0.2">
      <c r="B66" s="220"/>
    </row>
    <row r="67" spans="1:38" x14ac:dyDescent="0.2">
      <c r="B67" s="220"/>
    </row>
    <row r="68" spans="1:38" x14ac:dyDescent="0.2">
      <c r="A68" s="220"/>
    </row>
    <row r="69" spans="1:38" x14ac:dyDescent="0.2">
      <c r="A69" s="220"/>
    </row>
    <row r="70" spans="1:38" x14ac:dyDescent="0.2">
      <c r="A70" s="220"/>
    </row>
    <row r="71" spans="1:38" x14ac:dyDescent="0.2">
      <c r="A71" s="220"/>
    </row>
    <row r="72" spans="1:38" x14ac:dyDescent="0.2">
      <c r="A72" s="220"/>
    </row>
    <row r="73" spans="1:38" x14ac:dyDescent="0.2">
      <c r="A73" s="220"/>
    </row>
    <row r="74" spans="1:38" x14ac:dyDescent="0.2">
      <c r="A74" s="220"/>
    </row>
    <row r="75" spans="1:38" x14ac:dyDescent="0.2">
      <c r="A75" s="220"/>
    </row>
    <row r="76" spans="1:38" x14ac:dyDescent="0.2">
      <c r="A76" s="220"/>
    </row>
    <row r="77" spans="1:38" x14ac:dyDescent="0.2">
      <c r="A77" s="220"/>
    </row>
    <row r="78" spans="1:38" x14ac:dyDescent="0.2">
      <c r="A78" s="220"/>
    </row>
    <row r="79" spans="1:38" x14ac:dyDescent="0.2">
      <c r="A79" s="220"/>
    </row>
    <row r="80" spans="1:38" x14ac:dyDescent="0.2">
      <c r="A80" s="220"/>
    </row>
    <row r="81" spans="1:1" x14ac:dyDescent="0.2">
      <c r="A81" s="220"/>
    </row>
    <row r="82" spans="1:1" x14ac:dyDescent="0.2">
      <c r="A82" s="220"/>
    </row>
    <row r="83" spans="1:1" x14ac:dyDescent="0.2">
      <c r="A83" s="220"/>
    </row>
    <row r="84" spans="1:1" x14ac:dyDescent="0.2">
      <c r="A84" s="220"/>
    </row>
    <row r="85" spans="1:1" x14ac:dyDescent="0.2">
      <c r="A85" s="220"/>
    </row>
    <row r="86" spans="1:1" x14ac:dyDescent="0.2">
      <c r="A86" s="220"/>
    </row>
    <row r="87" spans="1:1" x14ac:dyDescent="0.2">
      <c r="A87" s="220"/>
    </row>
    <row r="88" spans="1:1" x14ac:dyDescent="0.2">
      <c r="A88" s="220"/>
    </row>
    <row r="89" spans="1:1" x14ac:dyDescent="0.2">
      <c r="A89" s="220"/>
    </row>
    <row r="90" spans="1:1" x14ac:dyDescent="0.2">
      <c r="A90" s="220"/>
    </row>
    <row r="91" spans="1:1" x14ac:dyDescent="0.2">
      <c r="A91" s="220"/>
    </row>
    <row r="92" spans="1:1" x14ac:dyDescent="0.2">
      <c r="A92" s="220"/>
    </row>
    <row r="93" spans="1:1" x14ac:dyDescent="0.2">
      <c r="A93" s="220"/>
    </row>
    <row r="94" spans="1:1" x14ac:dyDescent="0.2">
      <c r="A94" s="220"/>
    </row>
    <row r="95" spans="1:1" x14ac:dyDescent="0.2">
      <c r="A95" s="220"/>
    </row>
    <row r="96" spans="1:1" x14ac:dyDescent="0.2">
      <c r="A96" s="220"/>
    </row>
    <row r="97" spans="1:1" x14ac:dyDescent="0.2">
      <c r="A97" s="220"/>
    </row>
    <row r="98" spans="1:1" x14ac:dyDescent="0.2">
      <c r="A98" s="220"/>
    </row>
    <row r="99" spans="1:1" x14ac:dyDescent="0.2">
      <c r="A99" s="220"/>
    </row>
    <row r="100" spans="1:1" x14ac:dyDescent="0.2">
      <c r="A100" s="220"/>
    </row>
    <row r="101" spans="1:1" x14ac:dyDescent="0.2">
      <c r="A101" s="220"/>
    </row>
    <row r="102" spans="1:1" x14ac:dyDescent="0.2">
      <c r="A102" s="220"/>
    </row>
    <row r="103" spans="1:1" x14ac:dyDescent="0.2">
      <c r="A103" s="220"/>
    </row>
    <row r="104" spans="1:1" x14ac:dyDescent="0.2">
      <c r="A104" s="220"/>
    </row>
    <row r="105" spans="1:1" x14ac:dyDescent="0.2">
      <c r="A105" s="220"/>
    </row>
    <row r="106" spans="1:1" x14ac:dyDescent="0.2">
      <c r="A106" s="220"/>
    </row>
    <row r="107" spans="1:1" x14ac:dyDescent="0.2">
      <c r="A107" s="220"/>
    </row>
    <row r="108" spans="1:1" x14ac:dyDescent="0.2">
      <c r="A108" s="220"/>
    </row>
    <row r="109" spans="1:1" x14ac:dyDescent="0.2">
      <c r="A109" s="220"/>
    </row>
    <row r="110" spans="1:1" x14ac:dyDescent="0.2">
      <c r="A110" s="220"/>
    </row>
    <row r="111" spans="1:1" x14ac:dyDescent="0.2">
      <c r="A111" s="220"/>
    </row>
    <row r="112" spans="1:1" x14ac:dyDescent="0.2">
      <c r="A112" s="220"/>
    </row>
    <row r="113" spans="1:1" x14ac:dyDescent="0.2">
      <c r="A113" s="220"/>
    </row>
    <row r="114" spans="1:1" x14ac:dyDescent="0.2">
      <c r="A114" s="220"/>
    </row>
    <row r="115" spans="1:1" x14ac:dyDescent="0.2">
      <c r="A115" s="220"/>
    </row>
    <row r="116" spans="1:1" x14ac:dyDescent="0.2">
      <c r="A116" s="220"/>
    </row>
    <row r="117" spans="1:1" x14ac:dyDescent="0.2">
      <c r="A117" s="220"/>
    </row>
    <row r="118" spans="1:1" x14ac:dyDescent="0.2">
      <c r="A118" s="220"/>
    </row>
    <row r="119" spans="1:1" x14ac:dyDescent="0.2">
      <c r="A119" s="220"/>
    </row>
    <row r="120" spans="1:1" x14ac:dyDescent="0.2">
      <c r="A120" s="220"/>
    </row>
    <row r="121" spans="1:1" x14ac:dyDescent="0.2">
      <c r="A121" s="220"/>
    </row>
    <row r="122" spans="1:1" x14ac:dyDescent="0.2">
      <c r="A122" s="220"/>
    </row>
    <row r="123" spans="1:1" x14ac:dyDescent="0.2">
      <c r="A123" s="220"/>
    </row>
    <row r="124" spans="1:1" x14ac:dyDescent="0.2">
      <c r="A124" s="220"/>
    </row>
    <row r="125" spans="1:1" x14ac:dyDescent="0.2">
      <c r="A125" s="220"/>
    </row>
    <row r="126" spans="1:1" x14ac:dyDescent="0.2">
      <c r="A126" s="220"/>
    </row>
    <row r="127" spans="1:1" x14ac:dyDescent="0.2">
      <c r="A127" s="220"/>
    </row>
    <row r="128" spans="1:1" x14ac:dyDescent="0.2">
      <c r="A128" s="220"/>
    </row>
    <row r="129" spans="1:1" x14ac:dyDescent="0.2">
      <c r="A129" s="220"/>
    </row>
  </sheetData>
  <pageMargins left="0.75" right="0.75" top="1" bottom="1" header="0.5" footer="0.5"/>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Assignment</vt:lpstr>
      <vt:lpstr>Sample</vt:lpstr>
      <vt:lpstr>A-G</vt:lpstr>
      <vt:lpstr>H-N</vt:lpstr>
      <vt:lpstr>O-T</vt:lpstr>
      <vt:lpstr>U-X</vt:lpstr>
      <vt:lpstr>Lending category</vt:lpstr>
      <vt:lpstr>Summary</vt:lpstr>
      <vt:lpstr>array1</vt:lpstr>
      <vt:lpstr>array2</vt:lpstr>
      <vt:lpstr>array3</vt:lpstr>
      <vt:lpstr>Array4</vt:lpstr>
    </vt:vector>
  </TitlesOfParts>
  <Company>University of Waikato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Mukherjee, Abhishek</dc:creator>
  <cp:lastModifiedBy>Mukherjee, Abhishek</cp:lastModifiedBy>
  <dcterms:created xsi:type="dcterms:W3CDTF">2015-01-18T22:17:53Z</dcterms:created>
  <dcterms:modified xsi:type="dcterms:W3CDTF">2015-08-17T22:02:08Z</dcterms:modified>
</cp:coreProperties>
</file>